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16735950-7D40-41E6-B3E2-BA84B7A3E6A3}" xr6:coauthVersionLast="47" xr6:coauthVersionMax="47" xr10:uidLastSave="{00000000-0000-0000-0000-000000000000}"/>
  <bookViews>
    <workbookView xWindow="-120" yWindow="-120" windowWidth="20730" windowHeight="11160" xr2:uid="{980E6FE8-D03C-4E5A-99AB-7A724587B4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8" i="1" l="1"/>
  <c r="T64" i="1"/>
  <c r="T65" i="1"/>
  <c r="T15" i="1"/>
  <c r="T46" i="1"/>
  <c r="T11" i="1"/>
  <c r="T60" i="1"/>
  <c r="T10" i="1"/>
  <c r="T62" i="1"/>
  <c r="T29" i="1"/>
  <c r="T41" i="1"/>
  <c r="T20" i="1"/>
  <c r="T37" i="1"/>
  <c r="T35" i="1"/>
  <c r="T59" i="1"/>
  <c r="T42" i="1"/>
  <c r="T71" i="1"/>
  <c r="T34" i="1"/>
  <c r="T27" i="1"/>
  <c r="T51" i="1"/>
  <c r="T47" i="1"/>
  <c r="T23" i="1"/>
  <c r="T44" i="1"/>
  <c r="T54" i="1"/>
  <c r="T25" i="1"/>
  <c r="T21" i="1"/>
  <c r="T36" i="1"/>
  <c r="T28" i="1"/>
  <c r="T16" i="1"/>
  <c r="T12" i="1"/>
  <c r="T13" i="1"/>
  <c r="T72" i="1"/>
  <c r="T9" i="1"/>
  <c r="T32" i="1"/>
  <c r="T43" i="1"/>
  <c r="T63" i="1"/>
  <c r="T56" i="1"/>
  <c r="T14" i="1"/>
  <c r="T24" i="1"/>
  <c r="T69" i="1"/>
  <c r="T58" i="1"/>
  <c r="T26" i="1"/>
  <c r="T57" i="1"/>
  <c r="T61" i="1"/>
  <c r="T49" i="1"/>
  <c r="T38" i="1"/>
  <c r="T55" i="1"/>
  <c r="T45" i="1"/>
  <c r="B65" i="1"/>
  <c r="A65" i="1"/>
  <c r="B46" i="1"/>
  <c r="A46" i="1"/>
  <c r="B11" i="1"/>
  <c r="A11" i="1"/>
  <c r="B60" i="1"/>
  <c r="B10" i="1"/>
  <c r="A10" i="1"/>
  <c r="B62" i="1"/>
  <c r="A62" i="1"/>
  <c r="B18" i="1"/>
  <c r="A18" i="1"/>
  <c r="B29" i="1"/>
  <c r="A29" i="1"/>
  <c r="B41" i="1"/>
  <c r="A41" i="1"/>
  <c r="B52" i="1"/>
  <c r="A52" i="1"/>
  <c r="B20" i="1"/>
  <c r="A20" i="1"/>
  <c r="B37" i="1"/>
  <c r="A37" i="1"/>
  <c r="B35" i="1"/>
  <c r="A35" i="1"/>
  <c r="B59" i="1"/>
  <c r="A59" i="1"/>
  <c r="B42" i="1"/>
  <c r="A42" i="1"/>
  <c r="B71" i="1"/>
  <c r="A71" i="1"/>
  <c r="B34" i="1"/>
  <c r="A34" i="1"/>
  <c r="B27" i="1"/>
  <c r="A27" i="1"/>
  <c r="B51" i="1"/>
  <c r="A51" i="1"/>
  <c r="B67" i="1"/>
  <c r="A67" i="1"/>
  <c r="B47" i="1"/>
  <c r="A47" i="1"/>
  <c r="B23" i="1"/>
  <c r="A23" i="1"/>
  <c r="B44" i="1"/>
  <c r="A44" i="1"/>
  <c r="B73" i="1"/>
  <c r="A73" i="1"/>
  <c r="B54" i="1"/>
  <c r="A54" i="1"/>
  <c r="B25" i="1"/>
  <c r="A25" i="1"/>
  <c r="B21" i="1"/>
  <c r="A21" i="1"/>
  <c r="B36" i="1"/>
  <c r="A36" i="1"/>
  <c r="B28" i="1"/>
  <c r="A28" i="1"/>
  <c r="B39" i="1"/>
  <c r="A39" i="1"/>
  <c r="B16" i="1"/>
  <c r="A16" i="1"/>
  <c r="B12" i="1"/>
  <c r="A12" i="1"/>
  <c r="B13" i="1"/>
  <c r="A13" i="1"/>
  <c r="B17" i="1"/>
  <c r="A17" i="1"/>
  <c r="B66" i="1"/>
  <c r="A66" i="1"/>
  <c r="B72" i="1"/>
  <c r="A72" i="1"/>
  <c r="B9" i="1"/>
  <c r="A9" i="1"/>
  <c r="B64" i="1"/>
  <c r="A64" i="1"/>
  <c r="B8" i="1"/>
  <c r="A8" i="1"/>
  <c r="B32" i="1"/>
  <c r="A32" i="1"/>
  <c r="B43" i="1"/>
  <c r="A43" i="1"/>
  <c r="B63" i="1"/>
  <c r="A63" i="1"/>
  <c r="B56" i="1"/>
  <c r="A56" i="1"/>
  <c r="B14" i="1"/>
  <c r="A14" i="1"/>
  <c r="B24" i="1"/>
  <c r="A24" i="1"/>
  <c r="B69" i="1"/>
  <c r="A69" i="1"/>
  <c r="B58" i="1"/>
  <c r="A58" i="1"/>
  <c r="B26" i="1"/>
  <c r="B57" i="1"/>
  <c r="A57" i="1"/>
  <c r="B61" i="1"/>
  <c r="A61" i="1"/>
  <c r="B49" i="1"/>
  <c r="A49" i="1"/>
  <c r="B38" i="1"/>
  <c r="A38" i="1"/>
  <c r="B55" i="1"/>
  <c r="A55" i="1"/>
  <c r="B45" i="1"/>
  <c r="A45" i="1"/>
</calcChain>
</file>

<file path=xl/sharedStrings.xml><?xml version="1.0" encoding="utf-8"?>
<sst xmlns="http://schemas.openxmlformats.org/spreadsheetml/2006/main" count="463" uniqueCount="201">
  <si>
    <t>Waltham Chase Trials MCC</t>
  </si>
  <si>
    <t>No.</t>
  </si>
  <si>
    <t>ACU No.</t>
  </si>
  <si>
    <t>Name</t>
  </si>
  <si>
    <t>Class</t>
  </si>
  <si>
    <t>Machine</t>
  </si>
  <si>
    <t>Club</t>
  </si>
  <si>
    <t>John</t>
  </si>
  <si>
    <t>White</t>
  </si>
  <si>
    <t>Sportsman</t>
  </si>
  <si>
    <t>Scorpa Factory 250</t>
  </si>
  <si>
    <t>Chris</t>
  </si>
  <si>
    <t>Guppy</t>
  </si>
  <si>
    <t>Veteran</t>
  </si>
  <si>
    <t>Vertigo</t>
  </si>
  <si>
    <t>Thames MCC</t>
  </si>
  <si>
    <t>Andy</t>
  </si>
  <si>
    <t>Withers</t>
  </si>
  <si>
    <t>Pre-65 D</t>
  </si>
  <si>
    <t>BSA B40</t>
  </si>
  <si>
    <t>Tony</t>
  </si>
  <si>
    <t>Billingham</t>
  </si>
  <si>
    <t>Twin Shock C</t>
  </si>
  <si>
    <t>Yamaha Majesty 175</t>
  </si>
  <si>
    <t>Mik</t>
  </si>
  <si>
    <t>Machinek</t>
  </si>
  <si>
    <t>Vertigo JB-R200</t>
  </si>
  <si>
    <t>Trevor</t>
  </si>
  <si>
    <t>Gatrell</t>
  </si>
  <si>
    <t>Sherco 300</t>
  </si>
  <si>
    <t>Ian</t>
  </si>
  <si>
    <t>Ballard</t>
  </si>
  <si>
    <t>Novice</t>
  </si>
  <si>
    <t>Beta 4T 250</t>
  </si>
  <si>
    <t>Dave</t>
  </si>
  <si>
    <t>Henvest</t>
  </si>
  <si>
    <t>Montesa 4RT 260</t>
  </si>
  <si>
    <t>Ringwood MC &amp; LCC</t>
  </si>
  <si>
    <t>David</t>
  </si>
  <si>
    <t>James</t>
  </si>
  <si>
    <t>Youth C</t>
  </si>
  <si>
    <t>Gas Gas 125</t>
  </si>
  <si>
    <t>XHG Tiger MCC Ltd</t>
  </si>
  <si>
    <t>Lloyd</t>
  </si>
  <si>
    <t>Montesa</t>
  </si>
  <si>
    <t>Mike</t>
  </si>
  <si>
    <t>Hinton</t>
  </si>
  <si>
    <t>Clubman</t>
  </si>
  <si>
    <t>Vertigo 250</t>
  </si>
  <si>
    <t>Penfold</t>
  </si>
  <si>
    <t>Gas Gas TXT 250</t>
  </si>
  <si>
    <t>Martin</t>
  </si>
  <si>
    <t>TRS ONE R 300</t>
  </si>
  <si>
    <t>Steven</t>
  </si>
  <si>
    <t>Shergold</t>
  </si>
  <si>
    <t>Gas Gas TXT 280</t>
  </si>
  <si>
    <t>Bob</t>
  </si>
  <si>
    <t>Hampton</t>
  </si>
  <si>
    <t>Pre-65 C</t>
  </si>
  <si>
    <t>BSA Bantam 185</t>
  </si>
  <si>
    <t>Andrew</t>
  </si>
  <si>
    <t>Ball</t>
  </si>
  <si>
    <t>Gas Gas TXT 300</t>
  </si>
  <si>
    <t>Nick</t>
  </si>
  <si>
    <t>Eades</t>
  </si>
  <si>
    <t>TRS 250</t>
  </si>
  <si>
    <t>Reynard</t>
  </si>
  <si>
    <t>Norris</t>
  </si>
  <si>
    <t>Beta Evo 250</t>
  </si>
  <si>
    <t>Aldermaston Nomads MCC</t>
  </si>
  <si>
    <t>Tommy</t>
  </si>
  <si>
    <t>Wakeford</t>
  </si>
  <si>
    <t>Youth D - Petrol</t>
  </si>
  <si>
    <t>Sherco 50</t>
  </si>
  <si>
    <t>Bognor Regis &amp; District MCC Ltd</t>
  </si>
  <si>
    <t>Mick</t>
  </si>
  <si>
    <t>Treagus</t>
  </si>
  <si>
    <t>Medcraff</t>
  </si>
  <si>
    <t>Penton</t>
  </si>
  <si>
    <t>Beta 200</t>
  </si>
  <si>
    <t>Long</t>
  </si>
  <si>
    <t>Bartlett</t>
  </si>
  <si>
    <t>TRS RR 250</t>
  </si>
  <si>
    <t>Bridport &amp; Weymouth MCC</t>
  </si>
  <si>
    <t>Robert</t>
  </si>
  <si>
    <t>Hartwell</t>
  </si>
  <si>
    <t>Francis Barnett Falcon</t>
  </si>
  <si>
    <t>Tim</t>
  </si>
  <si>
    <t>Adams</t>
  </si>
  <si>
    <t>Sherco ST 250</t>
  </si>
  <si>
    <t>Newell</t>
  </si>
  <si>
    <t>Royal Enfield Bullet</t>
  </si>
  <si>
    <t>Kevin</t>
  </si>
  <si>
    <t>Nolan</t>
  </si>
  <si>
    <t>Expert</t>
  </si>
  <si>
    <t>Virtigo 300</t>
  </si>
  <si>
    <t>Steve</t>
  </si>
  <si>
    <t>Leigh</t>
  </si>
  <si>
    <t>Chalk</t>
  </si>
  <si>
    <t>TRS Gold 250</t>
  </si>
  <si>
    <t>Harrison</t>
  </si>
  <si>
    <t>Kent</t>
  </si>
  <si>
    <t>Beta</t>
  </si>
  <si>
    <t>Greg</t>
  </si>
  <si>
    <t>Seymour</t>
  </si>
  <si>
    <t>Gas Gas 250</t>
  </si>
  <si>
    <t>Richard</t>
  </si>
  <si>
    <t>Gennings</t>
  </si>
  <si>
    <t>Beta Evo 290</t>
  </si>
  <si>
    <t>Fox</t>
  </si>
  <si>
    <t>Sherco Factory ST 250</t>
  </si>
  <si>
    <t>Graham</t>
  </si>
  <si>
    <t>Barton</t>
  </si>
  <si>
    <t>Beta 250</t>
  </si>
  <si>
    <t>Tongham Tigers Sports MCC</t>
  </si>
  <si>
    <t>Westbrook</t>
  </si>
  <si>
    <t>Twin Shock D</t>
  </si>
  <si>
    <t>Ossa Mar 250</t>
  </si>
  <si>
    <t>Jon</t>
  </si>
  <si>
    <t>Hunter</t>
  </si>
  <si>
    <t>Beta Evo 200</t>
  </si>
  <si>
    <t>Jim</t>
  </si>
  <si>
    <t>Gray</t>
  </si>
  <si>
    <t>Ariel HT5</t>
  </si>
  <si>
    <t>Ollie</t>
  </si>
  <si>
    <t>Barr</t>
  </si>
  <si>
    <t>TRS ONE RR 125</t>
  </si>
  <si>
    <t>Carl</t>
  </si>
  <si>
    <t>TRS ONE R 250</t>
  </si>
  <si>
    <t>Pattison</t>
  </si>
  <si>
    <t>Scorpa 143</t>
  </si>
  <si>
    <t>Stephen</t>
  </si>
  <si>
    <t>Jones</t>
  </si>
  <si>
    <t>Norton Ariel ES2</t>
  </si>
  <si>
    <t>Farnham Royal MC &amp; LCC</t>
  </si>
  <si>
    <t>Bamford</t>
  </si>
  <si>
    <t>Villiers 250</t>
  </si>
  <si>
    <t xml:space="preserve">Tom </t>
  </si>
  <si>
    <t>McCabe</t>
  </si>
  <si>
    <t>Gas Gas 300</t>
  </si>
  <si>
    <t>Hookwood Trials Club</t>
  </si>
  <si>
    <t>Wenlock</t>
  </si>
  <si>
    <t>Yamaha TY 175</t>
  </si>
  <si>
    <t>Alton &amp; District MC &amp; CC</t>
  </si>
  <si>
    <t>Simon</t>
  </si>
  <si>
    <t>Dean</t>
  </si>
  <si>
    <t>Beta Factory 250</t>
  </si>
  <si>
    <t>Otter Vale Motorcycle Club</t>
  </si>
  <si>
    <t>Lewis</t>
  </si>
  <si>
    <t>TRS One R 250</t>
  </si>
  <si>
    <t>Attwood</t>
  </si>
  <si>
    <t>Clive</t>
  </si>
  <si>
    <t>Wilson</t>
  </si>
  <si>
    <t>Montesa 315R 250</t>
  </si>
  <si>
    <t>King</t>
  </si>
  <si>
    <t>Beta Evo 300</t>
  </si>
  <si>
    <t>Privett</t>
  </si>
  <si>
    <t>Beta Evo Factory 300</t>
  </si>
  <si>
    <t>Skerratt</t>
  </si>
  <si>
    <t>Beta 300 Factoty</t>
  </si>
  <si>
    <t>Gareth</t>
  </si>
  <si>
    <t>Plews</t>
  </si>
  <si>
    <t>Montesa 4RT</t>
  </si>
  <si>
    <t>Hay</t>
  </si>
  <si>
    <t>Vladimiro</t>
  </si>
  <si>
    <t>Sassone</t>
  </si>
  <si>
    <t>Sherco 290</t>
  </si>
  <si>
    <t>Stewart</t>
  </si>
  <si>
    <t>Read</t>
  </si>
  <si>
    <t>Beta 300 RR</t>
  </si>
  <si>
    <t>Pete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</si>
  <si>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</si>
  <si>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</si>
  <si>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</si>
  <si>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</si>
  <si>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</si>
  <si>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</si>
  <si>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</si>
  <si>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</si>
  <si>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</si>
  <si>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</si>
  <si>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</si>
  <si>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</si>
  <si>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</si>
  <si>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</si>
  <si>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Results - The Hobnail Trophy Trial (ACU Permit  64169)</t>
  </si>
  <si>
    <t>Ham Lane/The Hop Garden, Langrish - Sunday 9th October 2022</t>
  </si>
  <si>
    <t>DNS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</si>
  <si>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</si>
  <si>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</si>
  <si>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</si>
  <si>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</si>
  <si>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</si>
  <si>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</si>
  <si>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</si>
  <si>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</si>
  <si>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</si>
  <si>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DNF</t>
  </si>
  <si>
    <t>10th</t>
  </si>
  <si>
    <t>11th</t>
  </si>
  <si>
    <t>12th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</si>
</sst>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/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A9699-AF8E-4DEE-942F-CD30D2FCCE0B}">
  <dimension ref="A1:U73"/>
  <sheetViews>
    <sheetView tabSelected="1" topLeftCell="E3" workbookViewId="0">
      <selection activeCell="Q35" sqref="Q35"/>
    </sheetView>
  </sheetViews>
  <sheetFormatPr defaultRowHeight="15.75" x14ac:dyDescent="0.25"/>
  <cols>
    <col min="1" max="1" width="9.28515625" style="3" customWidth="1"/>
    <col min="2" max="2" width="13.7109375" style="3" customWidth="1"/>
    <col min="3" max="3" width="10.28515625" style="14" bestFit="1" customWidth="1"/>
    <col min="4" max="4" width="13" style="14" customWidth="1"/>
    <col min="5" max="5" width="16.85546875" style="14" customWidth="1"/>
    <col min="6" max="6" width="22.42578125" style="14" customWidth="1"/>
    <col min="7" max="7" width="32.42578125" style="14" customWidth="1"/>
    <col min="8" max="19" width="7.28515625" style="19" customWidth="1"/>
    <col min="20" max="20" width="9.140625" style="23"/>
    <col min="21" max="21" width="9.140625" style="19"/>
  </cols>
  <sheetData>
    <row r="1" spans="1:21" x14ac:dyDescent="0.25">
      <c r="A1" s="24" t="s">
        <v>0</v>
      </c>
      <c r="B1" s="24"/>
      <c r="C1" s="24"/>
      <c r="D1" s="24"/>
      <c r="E1" s="24"/>
      <c r="F1" s="24"/>
      <c r="G1" s="24"/>
    </row>
    <row r="2" spans="1:21" x14ac:dyDescent="0.25">
      <c r="A2" s="1"/>
      <c r="B2" s="1"/>
      <c r="C2" s="2"/>
      <c r="D2" s="2"/>
      <c r="E2" s="2"/>
      <c r="F2" s="2"/>
      <c r="G2" s="2"/>
    </row>
    <row r="3" spans="1:21" x14ac:dyDescent="0.25">
      <c r="A3" s="24" t="s">
        <v>185</v>
      </c>
      <c r="B3" s="24"/>
      <c r="C3" s="24"/>
      <c r="D3" s="24"/>
      <c r="E3" s="24"/>
      <c r="F3" s="24"/>
      <c r="G3" s="24"/>
    </row>
    <row r="4" spans="1:21" x14ac:dyDescent="0.25">
      <c r="A4" s="1"/>
      <c r="B4" s="1"/>
      <c r="C4" s="1"/>
      <c r="D4" s="1"/>
      <c r="E4" s="1"/>
      <c r="F4" s="1"/>
      <c r="G4" s="1"/>
    </row>
    <row r="5" spans="1:21" x14ac:dyDescent="0.25">
      <c r="A5" s="24" t="s">
        <v>186</v>
      </c>
      <c r="B5" s="24"/>
      <c r="C5" s="24"/>
      <c r="D5" s="24"/>
      <c r="E5" s="24"/>
      <c r="F5" s="24"/>
      <c r="G5" s="24"/>
    </row>
    <row r="6" spans="1:21" x14ac:dyDescent="0.25">
      <c r="C6" s="3"/>
      <c r="D6" s="3"/>
      <c r="E6" s="3"/>
      <c r="F6" s="3"/>
      <c r="G6" s="3"/>
    </row>
    <row r="7" spans="1:21" s="5" customFormat="1" ht="20.100000000000001" customHeight="1" x14ac:dyDescent="0.2">
      <c r="A7" s="4" t="s">
        <v>1</v>
      </c>
      <c r="B7" s="4" t="s">
        <v>2</v>
      </c>
      <c r="C7" s="25" t="s">
        <v>3</v>
      </c>
      <c r="D7" s="26"/>
      <c r="E7" s="4" t="s">
        <v>4</v>
      </c>
      <c r="F7" s="4" t="s">
        <v>5</v>
      </c>
      <c r="G7" s="15" t="s">
        <v>6</v>
      </c>
      <c r="H7" s="18" t="s">
        <v>171</v>
      </c>
      <c r="I7" s="18" t="s">
        <v>172</v>
      </c>
      <c r="J7" s="18" t="s">
        <v>173</v>
      </c>
      <c r="K7" s="18" t="s">
        <v>174</v>
      </c>
      <c r="L7" s="18" t="s">
        <v>175</v>
      </c>
      <c r="M7" s="18" t="s">
        <v>176</v>
      </c>
      <c r="N7" s="18" t="s">
        <v>177</v>
      </c>
      <c r="O7" s="18" t="s">
        <v>178</v>
      </c>
      <c r="P7" s="18" t="s">
        <v>179</v>
      </c>
      <c r="Q7" s="18" t="s">
        <v>180</v>
      </c>
      <c r="R7" s="18" t="s">
        <v>181</v>
      </c>
      <c r="S7" s="18" t="s">
        <v>182</v>
      </c>
      <c r="T7" s="18" t="s">
        <v>183</v>
      </c>
      <c r="U7" s="18" t="s">
        <v>184</v>
      </c>
    </row>
    <row r="8" spans="1:21" s="8" customFormat="1" ht="20.100000000000001" customHeight="1" x14ac:dyDescent="0.2">
      <c r="A8" s="6" t="str">
        <f>("178")</f>
        <v>178</v>
      </c>
      <c r="B8" s="6" t="str">
        <f>("107356")</f>
        <v>107356</v>
      </c>
      <c r="C8" s="7" t="s">
        <v>16</v>
      </c>
      <c r="D8" s="7" t="s">
        <v>61</v>
      </c>
      <c r="E8" s="7" t="s">
        <v>47</v>
      </c>
      <c r="F8" s="7" t="s">
        <v>62</v>
      </c>
      <c r="G8" s="16" t="s">
        <v>0</v>
      </c>
      <c r="H8" s="20">
        <v>2</v>
      </c>
      <c r="I8" s="20">
        <v>1</v>
      </c>
      <c r="J8" s="20">
        <v>3</v>
      </c>
      <c r="K8" s="20">
        <v>0</v>
      </c>
      <c r="L8" s="20">
        <v>0</v>
      </c>
      <c r="M8" s="20">
        <v>3</v>
      </c>
      <c r="N8" s="20">
        <v>3</v>
      </c>
      <c r="O8" s="20">
        <v>2</v>
      </c>
      <c r="P8" s="20">
        <v>0</v>
      </c>
      <c r="Q8" s="20">
        <v>4</v>
      </c>
      <c r="R8" s="20">
        <v>8</v>
      </c>
      <c r="S8" s="20">
        <v>0</v>
      </c>
      <c r="T8" s="18">
        <f t="shared" ref="T8" si="0">SUM(H8:S8)</f>
        <v>26</v>
      </c>
      <c r="U8" s="20" t="s">
        <v>188</v>
      </c>
    </row>
    <row r="9" spans="1:21" s="8" customFormat="1" ht="20.100000000000001" customHeight="1" x14ac:dyDescent="0.2">
      <c r="A9" s="9" t="str">
        <f>("190")</f>
        <v>190</v>
      </c>
      <c r="B9" s="9" t="str">
        <f>("11704")</f>
        <v>11704</v>
      </c>
      <c r="C9" s="10" t="s">
        <v>66</v>
      </c>
      <c r="D9" s="10" t="s">
        <v>67</v>
      </c>
      <c r="E9" s="10" t="s">
        <v>47</v>
      </c>
      <c r="F9" s="10" t="s">
        <v>68</v>
      </c>
      <c r="G9" s="17" t="s">
        <v>69</v>
      </c>
      <c r="H9" s="20">
        <v>1</v>
      </c>
      <c r="I9" s="20">
        <v>0</v>
      </c>
      <c r="J9" s="20">
        <v>8</v>
      </c>
      <c r="K9" s="20">
        <v>6</v>
      </c>
      <c r="L9" s="20">
        <v>0</v>
      </c>
      <c r="M9" s="20">
        <v>2</v>
      </c>
      <c r="N9" s="20">
        <v>2</v>
      </c>
      <c r="O9" s="20">
        <v>1</v>
      </c>
      <c r="P9" s="20">
        <v>0</v>
      </c>
      <c r="Q9" s="20">
        <v>4</v>
      </c>
      <c r="R9" s="20">
        <v>7</v>
      </c>
      <c r="S9" s="20">
        <v>1</v>
      </c>
      <c r="T9" s="18">
        <f t="shared" ref="T9:T16" si="1">SUM(H9:S9)</f>
        <v>32</v>
      </c>
      <c r="U9" s="20" t="s">
        <v>189</v>
      </c>
    </row>
    <row r="10" spans="1:21" s="8" customFormat="1" ht="20.100000000000001" customHeight="1" x14ac:dyDescent="0.2">
      <c r="A10" s="9" t="str">
        <f>("809")</f>
        <v>809</v>
      </c>
      <c r="B10" s="9" t="str">
        <f>("8130")</f>
        <v>8130</v>
      </c>
      <c r="C10" s="10" t="s">
        <v>111</v>
      </c>
      <c r="D10" s="10" t="s">
        <v>154</v>
      </c>
      <c r="E10" s="10" t="s">
        <v>47</v>
      </c>
      <c r="F10" s="10" t="s">
        <v>155</v>
      </c>
      <c r="G10" s="17" t="s">
        <v>37</v>
      </c>
      <c r="H10" s="20">
        <v>6</v>
      </c>
      <c r="I10" s="20">
        <v>0</v>
      </c>
      <c r="J10" s="20">
        <v>2</v>
      </c>
      <c r="K10" s="20">
        <v>2</v>
      </c>
      <c r="L10" s="20">
        <v>0</v>
      </c>
      <c r="M10" s="20">
        <v>3</v>
      </c>
      <c r="N10" s="20">
        <v>3</v>
      </c>
      <c r="O10" s="20">
        <v>7</v>
      </c>
      <c r="P10" s="20">
        <v>0</v>
      </c>
      <c r="Q10" s="20">
        <v>3</v>
      </c>
      <c r="R10" s="20">
        <v>12</v>
      </c>
      <c r="S10" s="20">
        <v>0</v>
      </c>
      <c r="T10" s="18">
        <f t="shared" si="1"/>
        <v>38</v>
      </c>
      <c r="U10" s="20" t="s">
        <v>190</v>
      </c>
    </row>
    <row r="11" spans="1:21" s="8" customFormat="1" ht="20.100000000000001" customHeight="1" x14ac:dyDescent="0.2">
      <c r="A11" s="9" t="str">
        <f>("814")</f>
        <v>814</v>
      </c>
      <c r="B11" s="9" t="str">
        <f>("154356")</f>
        <v>154356</v>
      </c>
      <c r="C11" s="10" t="s">
        <v>145</v>
      </c>
      <c r="D11" s="10" t="s">
        <v>158</v>
      </c>
      <c r="E11" s="10" t="s">
        <v>47</v>
      </c>
      <c r="F11" s="10" t="s">
        <v>159</v>
      </c>
      <c r="G11" s="17" t="s">
        <v>0</v>
      </c>
      <c r="H11" s="20">
        <v>5</v>
      </c>
      <c r="I11" s="20">
        <v>0</v>
      </c>
      <c r="J11" s="20">
        <v>4</v>
      </c>
      <c r="K11" s="20">
        <v>5</v>
      </c>
      <c r="L11" s="20">
        <v>0</v>
      </c>
      <c r="M11" s="20">
        <v>2</v>
      </c>
      <c r="N11" s="20">
        <v>6</v>
      </c>
      <c r="O11" s="20">
        <v>2</v>
      </c>
      <c r="P11" s="20">
        <v>0</v>
      </c>
      <c r="Q11" s="20">
        <v>5</v>
      </c>
      <c r="R11" s="20">
        <v>9</v>
      </c>
      <c r="S11" s="20">
        <v>1</v>
      </c>
      <c r="T11" s="18">
        <f t="shared" si="1"/>
        <v>39</v>
      </c>
      <c r="U11" s="20" t="s">
        <v>191</v>
      </c>
    </row>
    <row r="12" spans="1:21" s="8" customFormat="1" ht="20.100000000000001" customHeight="1" x14ac:dyDescent="0.2">
      <c r="A12" s="9" t="str">
        <f>("257")</f>
        <v>257</v>
      </c>
      <c r="B12" s="9" t="str">
        <f>("85751")</f>
        <v>85751</v>
      </c>
      <c r="C12" s="10" t="s">
        <v>43</v>
      </c>
      <c r="D12" s="10" t="s">
        <v>80</v>
      </c>
      <c r="E12" s="10" t="s">
        <v>47</v>
      </c>
      <c r="F12" s="10" t="s">
        <v>68</v>
      </c>
      <c r="G12" s="17" t="s">
        <v>37</v>
      </c>
      <c r="H12" s="20">
        <v>9</v>
      </c>
      <c r="I12" s="20">
        <v>0</v>
      </c>
      <c r="J12" s="20">
        <v>3</v>
      </c>
      <c r="K12" s="20">
        <v>5</v>
      </c>
      <c r="L12" s="20">
        <v>0</v>
      </c>
      <c r="M12" s="20">
        <v>4</v>
      </c>
      <c r="N12" s="20">
        <v>9</v>
      </c>
      <c r="O12" s="20">
        <v>8</v>
      </c>
      <c r="P12" s="20">
        <v>1</v>
      </c>
      <c r="Q12" s="20">
        <v>6</v>
      </c>
      <c r="R12" s="20">
        <v>13</v>
      </c>
      <c r="S12" s="20">
        <v>1</v>
      </c>
      <c r="T12" s="18">
        <f t="shared" si="1"/>
        <v>59</v>
      </c>
      <c r="U12" s="20" t="s">
        <v>192</v>
      </c>
    </row>
    <row r="13" spans="1:21" s="8" customFormat="1" ht="20.100000000000001" customHeight="1" x14ac:dyDescent="0.2">
      <c r="A13" s="9" t="str">
        <f>("249")</f>
        <v>249</v>
      </c>
      <c r="B13" s="9" t="str">
        <f>("74864")</f>
        <v>74864</v>
      </c>
      <c r="C13" s="10" t="s">
        <v>170</v>
      </c>
      <c r="D13" s="10" t="s">
        <v>78</v>
      </c>
      <c r="E13" s="10" t="s">
        <v>47</v>
      </c>
      <c r="F13" s="10" t="s">
        <v>79</v>
      </c>
      <c r="G13" s="17" t="s">
        <v>0</v>
      </c>
      <c r="H13" s="20">
        <v>1</v>
      </c>
      <c r="I13" s="20">
        <v>1</v>
      </c>
      <c r="J13" s="20">
        <v>7</v>
      </c>
      <c r="K13" s="20">
        <v>8</v>
      </c>
      <c r="L13" s="20">
        <v>0</v>
      </c>
      <c r="M13" s="20">
        <v>4</v>
      </c>
      <c r="N13" s="20">
        <v>13</v>
      </c>
      <c r="O13" s="20">
        <v>6</v>
      </c>
      <c r="P13" s="20">
        <v>1</v>
      </c>
      <c r="Q13" s="20">
        <v>7</v>
      </c>
      <c r="R13" s="20">
        <v>13</v>
      </c>
      <c r="S13" s="20">
        <v>3</v>
      </c>
      <c r="T13" s="18">
        <f t="shared" si="1"/>
        <v>64</v>
      </c>
      <c r="U13" s="20" t="s">
        <v>193</v>
      </c>
    </row>
    <row r="14" spans="1:21" s="8" customFormat="1" ht="20.100000000000001" customHeight="1" x14ac:dyDescent="0.2">
      <c r="A14" s="9" t="str">
        <f>("109")</f>
        <v>109</v>
      </c>
      <c r="B14" s="9" t="str">
        <f>("198403")</f>
        <v>198403</v>
      </c>
      <c r="C14" s="10" t="s">
        <v>45</v>
      </c>
      <c r="D14" s="10" t="s">
        <v>46</v>
      </c>
      <c r="E14" s="10" t="s">
        <v>47</v>
      </c>
      <c r="F14" s="10" t="s">
        <v>48</v>
      </c>
      <c r="G14" s="17" t="s">
        <v>0</v>
      </c>
      <c r="H14" s="20">
        <v>7</v>
      </c>
      <c r="I14" s="20">
        <v>0</v>
      </c>
      <c r="J14" s="20">
        <v>8</v>
      </c>
      <c r="K14" s="20">
        <v>6</v>
      </c>
      <c r="L14" s="20">
        <v>0</v>
      </c>
      <c r="M14" s="20">
        <v>5</v>
      </c>
      <c r="N14" s="20">
        <v>13</v>
      </c>
      <c r="O14" s="20">
        <v>7</v>
      </c>
      <c r="P14" s="20">
        <v>0</v>
      </c>
      <c r="Q14" s="20">
        <v>7</v>
      </c>
      <c r="R14" s="20">
        <v>12</v>
      </c>
      <c r="S14" s="20">
        <v>0</v>
      </c>
      <c r="T14" s="18">
        <f t="shared" si="1"/>
        <v>65</v>
      </c>
      <c r="U14" s="20" t="s">
        <v>194</v>
      </c>
    </row>
    <row r="15" spans="1:21" s="8" customFormat="1" ht="20.100000000000001" customHeight="1" x14ac:dyDescent="0.2">
      <c r="A15" s="9">
        <v>400</v>
      </c>
      <c r="B15" s="9">
        <v>192307</v>
      </c>
      <c r="C15" s="10" t="s">
        <v>11</v>
      </c>
      <c r="D15" s="10" t="s">
        <v>163</v>
      </c>
      <c r="E15" s="10" t="s">
        <v>47</v>
      </c>
      <c r="F15" s="10" t="s">
        <v>155</v>
      </c>
      <c r="G15" s="17" t="s">
        <v>37</v>
      </c>
      <c r="H15" s="20">
        <v>5</v>
      </c>
      <c r="I15" s="20">
        <v>6</v>
      </c>
      <c r="J15" s="20">
        <v>8</v>
      </c>
      <c r="K15" s="20">
        <v>2</v>
      </c>
      <c r="L15" s="20">
        <v>0</v>
      </c>
      <c r="M15" s="20">
        <v>2</v>
      </c>
      <c r="N15" s="20">
        <v>11</v>
      </c>
      <c r="O15" s="20">
        <v>3</v>
      </c>
      <c r="P15" s="20">
        <v>5</v>
      </c>
      <c r="Q15" s="20">
        <v>8</v>
      </c>
      <c r="R15" s="20">
        <v>15</v>
      </c>
      <c r="S15" s="20">
        <v>1</v>
      </c>
      <c r="T15" s="18">
        <f t="shared" si="1"/>
        <v>66</v>
      </c>
      <c r="U15" s="20" t="s">
        <v>195</v>
      </c>
    </row>
    <row r="16" spans="1:21" s="8" customFormat="1" ht="20.100000000000001" customHeight="1" x14ac:dyDescent="0.2">
      <c r="A16" s="9" t="str">
        <f>("288")</f>
        <v>288</v>
      </c>
      <c r="B16" s="9" t="str">
        <f>("143205")</f>
        <v>143205</v>
      </c>
      <c r="C16" s="10" t="s">
        <v>51</v>
      </c>
      <c r="D16" s="10" t="s">
        <v>81</v>
      </c>
      <c r="E16" s="10" t="s">
        <v>47</v>
      </c>
      <c r="F16" s="10" t="s">
        <v>82</v>
      </c>
      <c r="G16" s="17" t="s">
        <v>83</v>
      </c>
      <c r="H16" s="20">
        <v>11</v>
      </c>
      <c r="I16" s="20">
        <v>11</v>
      </c>
      <c r="J16" s="20">
        <v>6</v>
      </c>
      <c r="K16" s="20">
        <v>7</v>
      </c>
      <c r="L16" s="20">
        <v>1</v>
      </c>
      <c r="M16" s="20">
        <v>10</v>
      </c>
      <c r="N16" s="20">
        <v>9</v>
      </c>
      <c r="O16" s="20">
        <v>13</v>
      </c>
      <c r="P16" s="20">
        <v>3</v>
      </c>
      <c r="Q16" s="20">
        <v>9</v>
      </c>
      <c r="R16" s="20">
        <v>11</v>
      </c>
      <c r="S16" s="20">
        <v>3</v>
      </c>
      <c r="T16" s="18">
        <f t="shared" si="1"/>
        <v>94</v>
      </c>
      <c r="U16" s="20" t="s">
        <v>196</v>
      </c>
    </row>
    <row r="17" spans="1:21" s="8" customFormat="1" ht="20.100000000000001" customHeight="1" x14ac:dyDescent="0.2">
      <c r="A17" s="9" t="str">
        <f>("232")</f>
        <v>232</v>
      </c>
      <c r="B17" s="9" t="str">
        <f>("156826")</f>
        <v>156826</v>
      </c>
      <c r="C17" s="10" t="s">
        <v>51</v>
      </c>
      <c r="D17" s="10" t="s">
        <v>77</v>
      </c>
      <c r="E17" s="10" t="s">
        <v>47</v>
      </c>
      <c r="F17" s="10" t="s">
        <v>68</v>
      </c>
      <c r="G17" s="17" t="s">
        <v>37</v>
      </c>
      <c r="H17" s="20" t="s">
        <v>187</v>
      </c>
      <c r="I17" s="20" t="s">
        <v>187</v>
      </c>
      <c r="J17" s="20" t="s">
        <v>187</v>
      </c>
      <c r="K17" s="20" t="s">
        <v>187</v>
      </c>
      <c r="L17" s="20" t="s">
        <v>187</v>
      </c>
      <c r="M17" s="20" t="s">
        <v>187</v>
      </c>
      <c r="N17" s="20" t="s">
        <v>187</v>
      </c>
      <c r="O17" s="20" t="s">
        <v>187</v>
      </c>
      <c r="P17" s="20" t="s">
        <v>187</v>
      </c>
      <c r="Q17" s="20" t="s">
        <v>187</v>
      </c>
      <c r="R17" s="20" t="s">
        <v>187</v>
      </c>
      <c r="S17" s="20" t="s">
        <v>187</v>
      </c>
      <c r="T17" s="18" t="s">
        <v>187</v>
      </c>
      <c r="U17" s="20" t="s">
        <v>187</v>
      </c>
    </row>
    <row r="18" spans="1:21" s="8" customFormat="1" ht="20.100000000000001" customHeight="1" x14ac:dyDescent="0.25">
      <c r="A18" s="9" t="str">
        <f>("806")</f>
        <v>806</v>
      </c>
      <c r="B18" s="9" t="str">
        <f>("181769")</f>
        <v>181769</v>
      </c>
      <c r="C18" s="10" t="s">
        <v>7</v>
      </c>
      <c r="D18" s="10" t="s">
        <v>150</v>
      </c>
      <c r="E18" s="10" t="s">
        <v>47</v>
      </c>
      <c r="F18" s="10" t="s">
        <v>68</v>
      </c>
      <c r="G18" s="17" t="s">
        <v>42</v>
      </c>
      <c r="H18" s="20" t="s">
        <v>187</v>
      </c>
      <c r="I18" s="20" t="s">
        <v>187</v>
      </c>
      <c r="J18" s="20" t="s">
        <v>187</v>
      </c>
      <c r="K18" s="20" t="s">
        <v>187</v>
      </c>
      <c r="L18" s="20" t="s">
        <v>187</v>
      </c>
      <c r="M18" s="20" t="s">
        <v>187</v>
      </c>
      <c r="N18" s="20" t="s">
        <v>187</v>
      </c>
      <c r="O18" s="20" t="s">
        <v>187</v>
      </c>
      <c r="P18" s="20" t="s">
        <v>187</v>
      </c>
      <c r="Q18" s="20" t="s">
        <v>187</v>
      </c>
      <c r="R18" s="20" t="s">
        <v>187</v>
      </c>
      <c r="S18" s="20" t="s">
        <v>187</v>
      </c>
      <c r="T18" s="18" t="s">
        <v>187</v>
      </c>
      <c r="U18" s="20" t="s">
        <v>187</v>
      </c>
    </row>
    <row r="19" spans="1:21" s="8" customFormat="1" ht="20.100000000000001" customHeight="1" x14ac:dyDescent="0.25">
      <c r="A19" s="9"/>
      <c r="B19" s="9"/>
      <c r="C19" s="10"/>
      <c r="D19" s="10"/>
      <c r="E19" s="10"/>
      <c r="F19" s="10"/>
      <c r="G19" s="1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8"/>
      <c r="U19" s="20"/>
    </row>
    <row r="20" spans="1:21" s="8" customFormat="1" ht="20.100000000000001" customHeight="1" x14ac:dyDescent="0.25">
      <c r="A20" s="9" t="str">
        <f>("802")</f>
        <v>802</v>
      </c>
      <c r="B20" s="9" t="str">
        <f>("124049")</f>
        <v>124049</v>
      </c>
      <c r="C20" s="10" t="s">
        <v>137</v>
      </c>
      <c r="D20" s="10" t="s">
        <v>138</v>
      </c>
      <c r="E20" s="10" t="s">
        <v>94</v>
      </c>
      <c r="F20" s="10" t="s">
        <v>139</v>
      </c>
      <c r="G20" s="17" t="s">
        <v>140</v>
      </c>
      <c r="H20" s="20">
        <v>0</v>
      </c>
      <c r="I20" s="20">
        <v>0</v>
      </c>
      <c r="J20" s="20">
        <v>3</v>
      </c>
      <c r="K20" s="20">
        <v>15</v>
      </c>
      <c r="L20" s="20">
        <v>2</v>
      </c>
      <c r="M20" s="20">
        <v>0</v>
      </c>
      <c r="N20" s="20">
        <v>2</v>
      </c>
      <c r="O20" s="20">
        <v>1</v>
      </c>
      <c r="P20" s="20">
        <v>0</v>
      </c>
      <c r="Q20" s="20">
        <v>1</v>
      </c>
      <c r="R20" s="20">
        <v>5</v>
      </c>
      <c r="S20" s="20">
        <v>0</v>
      </c>
      <c r="T20" s="18">
        <f>SUM(H20:S20)</f>
        <v>29</v>
      </c>
      <c r="U20" s="20" t="s">
        <v>188</v>
      </c>
    </row>
    <row r="21" spans="1:21" s="8" customFormat="1" ht="20.100000000000001" customHeight="1" x14ac:dyDescent="0.25">
      <c r="A21" s="9" t="str">
        <f>("350")</f>
        <v>350</v>
      </c>
      <c r="B21" s="9" t="str">
        <f>("24795")</f>
        <v>24795</v>
      </c>
      <c r="C21" s="10" t="s">
        <v>92</v>
      </c>
      <c r="D21" s="10" t="s">
        <v>93</v>
      </c>
      <c r="E21" s="10" t="s">
        <v>94</v>
      </c>
      <c r="F21" s="10" t="s">
        <v>95</v>
      </c>
      <c r="G21" s="17" t="s">
        <v>15</v>
      </c>
      <c r="H21" s="20">
        <v>5</v>
      </c>
      <c r="I21" s="20">
        <v>4</v>
      </c>
      <c r="J21" s="20">
        <v>1</v>
      </c>
      <c r="K21" s="20">
        <v>15</v>
      </c>
      <c r="L21" s="20">
        <v>5</v>
      </c>
      <c r="M21" s="20">
        <v>0</v>
      </c>
      <c r="N21" s="20">
        <v>2</v>
      </c>
      <c r="O21" s="20">
        <v>6</v>
      </c>
      <c r="P21" s="20">
        <v>0</v>
      </c>
      <c r="Q21" s="20">
        <v>2</v>
      </c>
      <c r="R21" s="20">
        <v>2</v>
      </c>
      <c r="S21" s="20">
        <v>0</v>
      </c>
      <c r="T21" s="18">
        <f>SUM(H21:S21)</f>
        <v>42</v>
      </c>
      <c r="U21" s="20" t="s">
        <v>189</v>
      </c>
    </row>
    <row r="22" spans="1:21" s="8" customFormat="1" ht="20.100000000000001" customHeight="1" x14ac:dyDescent="0.25">
      <c r="A22" s="9"/>
      <c r="B22" s="9"/>
      <c r="C22" s="10"/>
      <c r="D22" s="10"/>
      <c r="E22" s="10"/>
      <c r="F22" s="10"/>
      <c r="G22" s="17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8"/>
      <c r="U22" s="20"/>
    </row>
    <row r="23" spans="1:21" s="8" customFormat="1" ht="20.100000000000001" customHeight="1" x14ac:dyDescent="0.25">
      <c r="A23" s="9" t="str">
        <f>("401")</f>
        <v>401</v>
      </c>
      <c r="B23" s="9" t="str">
        <f>("136575")</f>
        <v>136575</v>
      </c>
      <c r="C23" s="10" t="s">
        <v>106</v>
      </c>
      <c r="D23" s="10" t="s">
        <v>107</v>
      </c>
      <c r="E23" s="10" t="s">
        <v>32</v>
      </c>
      <c r="F23" s="10" t="s">
        <v>108</v>
      </c>
      <c r="G23" s="17" t="s">
        <v>0</v>
      </c>
      <c r="H23" s="20">
        <v>0</v>
      </c>
      <c r="I23" s="20">
        <v>0</v>
      </c>
      <c r="J23" s="20">
        <v>0</v>
      </c>
      <c r="K23" s="20">
        <v>4</v>
      </c>
      <c r="L23" s="20">
        <v>0</v>
      </c>
      <c r="M23" s="20">
        <v>0</v>
      </c>
      <c r="N23" s="20">
        <v>2</v>
      </c>
      <c r="O23" s="20">
        <v>3</v>
      </c>
      <c r="P23" s="20">
        <v>0</v>
      </c>
      <c r="Q23" s="20">
        <v>0</v>
      </c>
      <c r="R23" s="20">
        <v>5</v>
      </c>
      <c r="S23" s="20">
        <v>3</v>
      </c>
      <c r="T23" s="18">
        <f t="shared" ref="T23:T29" si="2">SUM(H23:S23)</f>
        <v>17</v>
      </c>
      <c r="U23" s="20" t="s">
        <v>188</v>
      </c>
    </row>
    <row r="24" spans="1:21" s="8" customFormat="1" ht="20.100000000000001" customHeight="1" x14ac:dyDescent="0.25">
      <c r="A24" s="9" t="str">
        <f>("103")</f>
        <v>103</v>
      </c>
      <c r="B24" s="9" t="str">
        <f>("176167")</f>
        <v>176167</v>
      </c>
      <c r="C24" s="10" t="s">
        <v>43</v>
      </c>
      <c r="D24" s="10" t="s">
        <v>39</v>
      </c>
      <c r="E24" s="10" t="s">
        <v>32</v>
      </c>
      <c r="F24" s="10" t="s">
        <v>44</v>
      </c>
      <c r="G24" s="17" t="s">
        <v>37</v>
      </c>
      <c r="H24" s="20">
        <v>0</v>
      </c>
      <c r="I24" s="20">
        <v>0</v>
      </c>
      <c r="J24" s="20">
        <v>0</v>
      </c>
      <c r="K24" s="20">
        <v>7</v>
      </c>
      <c r="L24" s="20">
        <v>0</v>
      </c>
      <c r="M24" s="20">
        <v>2</v>
      </c>
      <c r="N24" s="20">
        <v>4</v>
      </c>
      <c r="O24" s="20">
        <v>3</v>
      </c>
      <c r="P24" s="20">
        <v>0</v>
      </c>
      <c r="Q24" s="20">
        <v>2</v>
      </c>
      <c r="R24" s="20">
        <v>1</v>
      </c>
      <c r="S24" s="20">
        <v>0</v>
      </c>
      <c r="T24" s="18">
        <f t="shared" si="2"/>
        <v>19</v>
      </c>
      <c r="U24" s="20" t="s">
        <v>189</v>
      </c>
    </row>
    <row r="25" spans="1:21" s="8" customFormat="1" ht="20.100000000000001" customHeight="1" x14ac:dyDescent="0.25">
      <c r="A25" s="9" t="str">
        <f>("352")</f>
        <v>352</v>
      </c>
      <c r="B25" s="9" t="str">
        <f>("198100")</f>
        <v>198100</v>
      </c>
      <c r="C25" s="10" t="s">
        <v>96</v>
      </c>
      <c r="D25" s="10" t="s">
        <v>97</v>
      </c>
      <c r="E25" s="10" t="s">
        <v>32</v>
      </c>
      <c r="F25" s="10" t="s">
        <v>50</v>
      </c>
      <c r="G25" s="17" t="s">
        <v>0</v>
      </c>
      <c r="H25" s="20">
        <v>0</v>
      </c>
      <c r="I25" s="20">
        <v>5</v>
      </c>
      <c r="J25" s="20">
        <v>0</v>
      </c>
      <c r="K25" s="20">
        <v>12</v>
      </c>
      <c r="L25" s="20">
        <v>0</v>
      </c>
      <c r="M25" s="20">
        <v>2</v>
      </c>
      <c r="N25" s="20">
        <v>1</v>
      </c>
      <c r="O25" s="20">
        <v>3</v>
      </c>
      <c r="P25" s="20">
        <v>0</v>
      </c>
      <c r="Q25" s="20">
        <v>1</v>
      </c>
      <c r="R25" s="20">
        <v>0</v>
      </c>
      <c r="S25" s="20">
        <v>0</v>
      </c>
      <c r="T25" s="18">
        <f t="shared" si="2"/>
        <v>24</v>
      </c>
      <c r="U25" s="20" t="s">
        <v>190</v>
      </c>
    </row>
    <row r="26" spans="1:21" s="8" customFormat="1" ht="20.100000000000001" customHeight="1" x14ac:dyDescent="0.25">
      <c r="A26" s="9">
        <v>76</v>
      </c>
      <c r="B26" s="9" t="str">
        <f>("18")</f>
        <v>18</v>
      </c>
      <c r="C26" s="10" t="s">
        <v>30</v>
      </c>
      <c r="D26" s="10" t="s">
        <v>31</v>
      </c>
      <c r="E26" s="10" t="s">
        <v>32</v>
      </c>
      <c r="F26" s="10" t="s">
        <v>33</v>
      </c>
      <c r="G26" s="17" t="s">
        <v>0</v>
      </c>
      <c r="H26" s="20">
        <v>0</v>
      </c>
      <c r="I26" s="20">
        <v>5</v>
      </c>
      <c r="J26" s="20">
        <v>7</v>
      </c>
      <c r="K26" s="20">
        <v>11</v>
      </c>
      <c r="L26" s="20">
        <v>0</v>
      </c>
      <c r="M26" s="20">
        <v>6</v>
      </c>
      <c r="N26" s="20">
        <v>11</v>
      </c>
      <c r="O26" s="20">
        <v>9</v>
      </c>
      <c r="P26" s="20">
        <v>0</v>
      </c>
      <c r="Q26" s="20">
        <v>5</v>
      </c>
      <c r="R26" s="20">
        <v>4</v>
      </c>
      <c r="S26" s="20">
        <v>0</v>
      </c>
      <c r="T26" s="18">
        <f t="shared" si="2"/>
        <v>58</v>
      </c>
      <c r="U26" s="20" t="s">
        <v>191</v>
      </c>
    </row>
    <row r="27" spans="1:21" s="8" customFormat="1" ht="20.100000000000001" customHeight="1" x14ac:dyDescent="0.25">
      <c r="A27" s="9" t="str">
        <f>("481")</f>
        <v>481</v>
      </c>
      <c r="B27" s="9" t="str">
        <f>("211098")</f>
        <v>211098</v>
      </c>
      <c r="C27" s="10" t="s">
        <v>118</v>
      </c>
      <c r="D27" s="10" t="s">
        <v>119</v>
      </c>
      <c r="E27" s="10" t="s">
        <v>32</v>
      </c>
      <c r="F27" s="10" t="s">
        <v>120</v>
      </c>
      <c r="G27" s="17" t="s">
        <v>0</v>
      </c>
      <c r="H27" s="20">
        <v>3</v>
      </c>
      <c r="I27" s="20">
        <v>8</v>
      </c>
      <c r="J27" s="20">
        <v>2</v>
      </c>
      <c r="K27" s="20">
        <v>15</v>
      </c>
      <c r="L27" s="20">
        <v>0</v>
      </c>
      <c r="M27" s="20">
        <v>8</v>
      </c>
      <c r="N27" s="20">
        <v>7</v>
      </c>
      <c r="O27" s="20">
        <v>7</v>
      </c>
      <c r="P27" s="20">
        <v>0</v>
      </c>
      <c r="Q27" s="20">
        <v>8</v>
      </c>
      <c r="R27" s="20">
        <v>7</v>
      </c>
      <c r="S27" s="20">
        <v>0</v>
      </c>
      <c r="T27" s="18">
        <f t="shared" si="2"/>
        <v>65</v>
      </c>
      <c r="U27" s="20" t="s">
        <v>192</v>
      </c>
    </row>
    <row r="28" spans="1:21" s="8" customFormat="1" ht="20.100000000000001" customHeight="1" x14ac:dyDescent="0.25">
      <c r="A28" s="9" t="str">
        <f>("313")</f>
        <v>313</v>
      </c>
      <c r="B28" s="9" t="str">
        <f>("201675")</f>
        <v>201675</v>
      </c>
      <c r="C28" s="10" t="s">
        <v>87</v>
      </c>
      <c r="D28" s="10" t="s">
        <v>88</v>
      </c>
      <c r="E28" s="10" t="s">
        <v>32</v>
      </c>
      <c r="F28" s="10" t="s">
        <v>89</v>
      </c>
      <c r="G28" s="17" t="s">
        <v>0</v>
      </c>
      <c r="H28" s="20">
        <v>0</v>
      </c>
      <c r="I28" s="20">
        <v>7</v>
      </c>
      <c r="J28" s="20">
        <v>4</v>
      </c>
      <c r="K28" s="20">
        <v>11</v>
      </c>
      <c r="L28" s="20">
        <v>5</v>
      </c>
      <c r="M28" s="20">
        <v>5</v>
      </c>
      <c r="N28" s="20">
        <v>10</v>
      </c>
      <c r="O28" s="20">
        <v>4</v>
      </c>
      <c r="P28" s="20">
        <v>1</v>
      </c>
      <c r="Q28" s="20">
        <v>8</v>
      </c>
      <c r="R28" s="20">
        <v>9</v>
      </c>
      <c r="S28" s="20">
        <v>2</v>
      </c>
      <c r="T28" s="18">
        <f t="shared" si="2"/>
        <v>66</v>
      </c>
      <c r="U28" s="20" t="s">
        <v>193</v>
      </c>
    </row>
    <row r="29" spans="1:21" s="8" customFormat="1" ht="20.100000000000001" customHeight="1" x14ac:dyDescent="0.25">
      <c r="A29" s="9" t="str">
        <f>("805")</f>
        <v>805</v>
      </c>
      <c r="B29" s="9" t="str">
        <f>("211798")</f>
        <v>211798</v>
      </c>
      <c r="C29" s="10" t="s">
        <v>51</v>
      </c>
      <c r="D29" s="10" t="s">
        <v>148</v>
      </c>
      <c r="E29" s="10" t="s">
        <v>32</v>
      </c>
      <c r="F29" s="10" t="s">
        <v>149</v>
      </c>
      <c r="G29" s="17" t="s">
        <v>37</v>
      </c>
      <c r="H29" s="20">
        <v>0</v>
      </c>
      <c r="I29" s="20">
        <v>10</v>
      </c>
      <c r="J29" s="20">
        <v>9</v>
      </c>
      <c r="K29" s="20">
        <v>8</v>
      </c>
      <c r="L29" s="20">
        <v>0</v>
      </c>
      <c r="M29" s="20">
        <v>3</v>
      </c>
      <c r="N29" s="20">
        <v>10</v>
      </c>
      <c r="O29" s="20">
        <v>7</v>
      </c>
      <c r="P29" s="20">
        <v>6</v>
      </c>
      <c r="Q29" s="20">
        <v>9</v>
      </c>
      <c r="R29" s="20">
        <v>3</v>
      </c>
      <c r="S29" s="20">
        <v>8</v>
      </c>
      <c r="T29" s="18">
        <f t="shared" si="2"/>
        <v>73</v>
      </c>
      <c r="U29" s="20" t="s">
        <v>194</v>
      </c>
    </row>
    <row r="30" spans="1:21" s="8" customFormat="1" ht="20.100000000000001" customHeight="1" x14ac:dyDescent="0.25">
      <c r="A30" s="9">
        <v>819</v>
      </c>
      <c r="B30" s="9">
        <v>208324</v>
      </c>
      <c r="C30" s="21" t="s">
        <v>164</v>
      </c>
      <c r="D30" s="21" t="s">
        <v>165</v>
      </c>
      <c r="E30" s="10" t="s">
        <v>32</v>
      </c>
      <c r="F30" s="10" t="s">
        <v>166</v>
      </c>
      <c r="G30" s="17" t="s">
        <v>0</v>
      </c>
      <c r="H30" s="20" t="s">
        <v>197</v>
      </c>
      <c r="I30" s="20" t="s">
        <v>197</v>
      </c>
      <c r="J30" s="20" t="s">
        <v>197</v>
      </c>
      <c r="K30" s="20" t="s">
        <v>197</v>
      </c>
      <c r="L30" s="20" t="s">
        <v>197</v>
      </c>
      <c r="M30" s="20" t="s">
        <v>197</v>
      </c>
      <c r="N30" s="20" t="s">
        <v>197</v>
      </c>
      <c r="O30" s="20" t="s">
        <v>197</v>
      </c>
      <c r="P30" s="20" t="s">
        <v>197</v>
      </c>
      <c r="Q30" s="20" t="s">
        <v>197</v>
      </c>
      <c r="R30" s="20" t="s">
        <v>197</v>
      </c>
      <c r="S30" s="20" t="s">
        <v>197</v>
      </c>
      <c r="T30" s="18" t="s">
        <v>197</v>
      </c>
      <c r="U30" s="20" t="s">
        <v>197</v>
      </c>
    </row>
    <row r="31" spans="1:21" s="8" customFormat="1" ht="20.100000000000001" customHeight="1" x14ac:dyDescent="0.25">
      <c r="A31" s="9"/>
      <c r="B31" s="9"/>
      <c r="C31" s="10"/>
      <c r="D31" s="10"/>
      <c r="E31" s="10"/>
      <c r="F31" s="10"/>
      <c r="G31" s="17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8"/>
      <c r="U31" s="20"/>
    </row>
    <row r="32" spans="1:21" s="8" customFormat="1" ht="20.100000000000001" customHeight="1" x14ac:dyDescent="0.25">
      <c r="A32" s="9" t="str">
        <f>("174")</f>
        <v>174</v>
      </c>
      <c r="B32" s="9" t="str">
        <f>("107604")</f>
        <v>107604</v>
      </c>
      <c r="C32" s="10" t="s">
        <v>56</v>
      </c>
      <c r="D32" s="10" t="s">
        <v>57</v>
      </c>
      <c r="E32" s="10" t="s">
        <v>58</v>
      </c>
      <c r="F32" s="10" t="s">
        <v>59</v>
      </c>
      <c r="G32" s="17" t="s">
        <v>0</v>
      </c>
      <c r="H32" s="20">
        <v>0</v>
      </c>
      <c r="I32" s="20">
        <v>1</v>
      </c>
      <c r="J32" s="20">
        <v>1</v>
      </c>
      <c r="K32" s="20">
        <v>1</v>
      </c>
      <c r="L32" s="20">
        <v>0</v>
      </c>
      <c r="M32" s="20">
        <v>7</v>
      </c>
      <c r="N32" s="20">
        <v>8</v>
      </c>
      <c r="O32" s="20">
        <v>2</v>
      </c>
      <c r="P32" s="20">
        <v>0</v>
      </c>
      <c r="Q32" s="20">
        <v>6</v>
      </c>
      <c r="R32" s="20">
        <v>6</v>
      </c>
      <c r="S32" s="20">
        <v>0</v>
      </c>
      <c r="T32" s="18">
        <f>SUM(H32:S32)</f>
        <v>32</v>
      </c>
      <c r="U32" s="20" t="s">
        <v>188</v>
      </c>
    </row>
    <row r="33" spans="1:21" s="8" customFormat="1" ht="20.100000000000001" customHeight="1" x14ac:dyDescent="0.25">
      <c r="A33" s="9"/>
      <c r="B33" s="9"/>
      <c r="C33" s="10"/>
      <c r="D33" s="10"/>
      <c r="E33" s="10"/>
      <c r="F33" s="10"/>
      <c r="G33" s="17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8"/>
      <c r="U33" s="20"/>
    </row>
    <row r="34" spans="1:21" s="8" customFormat="1" ht="20.100000000000001" customHeight="1" x14ac:dyDescent="0.25">
      <c r="A34" s="9" t="str">
        <f>("500")</f>
        <v>500</v>
      </c>
      <c r="B34" s="9" t="str">
        <f>("10955")</f>
        <v>10955</v>
      </c>
      <c r="C34" s="10" t="s">
        <v>121</v>
      </c>
      <c r="D34" s="10" t="s">
        <v>122</v>
      </c>
      <c r="E34" s="10" t="s">
        <v>18</v>
      </c>
      <c r="F34" s="10" t="s">
        <v>123</v>
      </c>
      <c r="G34" s="17" t="s">
        <v>0</v>
      </c>
      <c r="H34" s="20">
        <v>0</v>
      </c>
      <c r="I34" s="20">
        <v>0</v>
      </c>
      <c r="J34" s="20">
        <v>0</v>
      </c>
      <c r="K34" s="20">
        <v>5</v>
      </c>
      <c r="L34" s="20">
        <v>0</v>
      </c>
      <c r="M34" s="20">
        <v>1</v>
      </c>
      <c r="N34" s="20">
        <v>0</v>
      </c>
      <c r="O34" s="20">
        <v>0</v>
      </c>
      <c r="P34" s="20">
        <v>0</v>
      </c>
      <c r="Q34" s="20">
        <v>0</v>
      </c>
      <c r="R34" s="20">
        <v>2</v>
      </c>
      <c r="S34" s="20">
        <v>0</v>
      </c>
      <c r="T34" s="18">
        <f>SUM(H34:S34)</f>
        <v>8</v>
      </c>
      <c r="U34" s="20" t="s">
        <v>188</v>
      </c>
    </row>
    <row r="35" spans="1:21" s="8" customFormat="1" ht="20.100000000000001" customHeight="1" x14ac:dyDescent="0.25">
      <c r="A35" s="9" t="str">
        <f>("800")</f>
        <v>800</v>
      </c>
      <c r="B35" s="9" t="str">
        <f>("81091")</f>
        <v>81091</v>
      </c>
      <c r="C35" s="10" t="s">
        <v>131</v>
      </c>
      <c r="D35" s="10" t="s">
        <v>132</v>
      </c>
      <c r="E35" s="10" t="s">
        <v>18</v>
      </c>
      <c r="F35" s="10" t="s">
        <v>133</v>
      </c>
      <c r="G35" s="17" t="s">
        <v>134</v>
      </c>
      <c r="H35" s="20">
        <v>0</v>
      </c>
      <c r="I35" s="20">
        <v>1</v>
      </c>
      <c r="J35" s="20">
        <v>0</v>
      </c>
      <c r="K35" s="20">
        <v>1</v>
      </c>
      <c r="L35" s="20">
        <v>0</v>
      </c>
      <c r="M35" s="20">
        <v>0</v>
      </c>
      <c r="N35" s="20">
        <v>1</v>
      </c>
      <c r="O35" s="20">
        <v>1</v>
      </c>
      <c r="P35" s="20">
        <v>0</v>
      </c>
      <c r="Q35" s="20">
        <v>5</v>
      </c>
      <c r="R35" s="20">
        <v>0</v>
      </c>
      <c r="S35" s="20">
        <v>0</v>
      </c>
      <c r="T35" s="18">
        <f>SUM(H35:S35)</f>
        <v>9</v>
      </c>
      <c r="U35" s="20" t="s">
        <v>189</v>
      </c>
    </row>
    <row r="36" spans="1:21" s="8" customFormat="1" ht="20.100000000000001" customHeight="1" x14ac:dyDescent="0.25">
      <c r="A36" s="9" t="str">
        <f>("345")</f>
        <v>345</v>
      </c>
      <c r="B36" s="9" t="str">
        <f>("201725")</f>
        <v>201725</v>
      </c>
      <c r="C36" s="10" t="s">
        <v>27</v>
      </c>
      <c r="D36" s="10" t="s">
        <v>90</v>
      </c>
      <c r="E36" s="10" t="s">
        <v>18</v>
      </c>
      <c r="F36" s="10" t="s">
        <v>91</v>
      </c>
      <c r="G36" s="17" t="s">
        <v>0</v>
      </c>
      <c r="H36" s="20">
        <v>0</v>
      </c>
      <c r="I36" s="20">
        <v>6</v>
      </c>
      <c r="J36" s="20">
        <v>0</v>
      </c>
      <c r="K36" s="20">
        <v>4</v>
      </c>
      <c r="L36" s="20">
        <v>0</v>
      </c>
      <c r="M36" s="20">
        <v>0</v>
      </c>
      <c r="N36" s="20">
        <v>0</v>
      </c>
      <c r="O36" s="20">
        <v>1</v>
      </c>
      <c r="P36" s="20">
        <v>0</v>
      </c>
      <c r="Q36" s="20">
        <v>0</v>
      </c>
      <c r="R36" s="20">
        <v>2</v>
      </c>
      <c r="S36" s="20">
        <v>0</v>
      </c>
      <c r="T36" s="18">
        <f>SUM(H36:S36)</f>
        <v>13</v>
      </c>
      <c r="U36" s="20" t="s">
        <v>190</v>
      </c>
    </row>
    <row r="37" spans="1:21" s="8" customFormat="1" ht="20.100000000000001" customHeight="1" x14ac:dyDescent="0.25">
      <c r="A37" s="9" t="str">
        <f>("801")</f>
        <v>801</v>
      </c>
      <c r="B37" s="9" t="str">
        <f>("58213")</f>
        <v>58213</v>
      </c>
      <c r="C37" s="10" t="s">
        <v>60</v>
      </c>
      <c r="D37" s="10" t="s">
        <v>135</v>
      </c>
      <c r="E37" s="10" t="s">
        <v>18</v>
      </c>
      <c r="F37" s="10" t="s">
        <v>136</v>
      </c>
      <c r="G37" s="17" t="s">
        <v>114</v>
      </c>
      <c r="H37" s="20">
        <v>0</v>
      </c>
      <c r="I37" s="20">
        <v>1</v>
      </c>
      <c r="J37" s="20">
        <v>3</v>
      </c>
      <c r="K37" s="20">
        <v>7</v>
      </c>
      <c r="L37" s="20">
        <v>0</v>
      </c>
      <c r="M37" s="20">
        <v>0</v>
      </c>
      <c r="N37" s="20">
        <v>3</v>
      </c>
      <c r="O37" s="20">
        <v>3</v>
      </c>
      <c r="P37" s="20">
        <v>5</v>
      </c>
      <c r="Q37" s="20">
        <v>5</v>
      </c>
      <c r="R37" s="20">
        <v>2</v>
      </c>
      <c r="S37" s="20">
        <v>5</v>
      </c>
      <c r="T37" s="18">
        <f>SUM(H37:S37)</f>
        <v>34</v>
      </c>
      <c r="U37" s="20" t="s">
        <v>191</v>
      </c>
    </row>
    <row r="38" spans="1:21" s="8" customFormat="1" ht="20.100000000000001" customHeight="1" x14ac:dyDescent="0.25">
      <c r="A38" s="9" t="str">
        <f>("24")</f>
        <v>24</v>
      </c>
      <c r="B38" s="9" t="str">
        <f>("177394")</f>
        <v>177394</v>
      </c>
      <c r="C38" s="10" t="s">
        <v>16</v>
      </c>
      <c r="D38" s="10" t="s">
        <v>17</v>
      </c>
      <c r="E38" s="10" t="s">
        <v>18</v>
      </c>
      <c r="F38" s="10" t="s">
        <v>19</v>
      </c>
      <c r="G38" s="17" t="s">
        <v>0</v>
      </c>
      <c r="H38" s="20">
        <v>0</v>
      </c>
      <c r="I38" s="20">
        <v>6</v>
      </c>
      <c r="J38" s="20">
        <v>1</v>
      </c>
      <c r="K38" s="20">
        <v>8</v>
      </c>
      <c r="L38" s="20">
        <v>0</v>
      </c>
      <c r="M38" s="20">
        <v>5</v>
      </c>
      <c r="N38" s="20">
        <v>3</v>
      </c>
      <c r="O38" s="20">
        <v>13</v>
      </c>
      <c r="P38" s="20">
        <v>0</v>
      </c>
      <c r="Q38" s="20">
        <v>2</v>
      </c>
      <c r="R38" s="20">
        <v>0</v>
      </c>
      <c r="S38" s="20">
        <v>0</v>
      </c>
      <c r="T38" s="18">
        <f>SUM(H38:S38)</f>
        <v>38</v>
      </c>
      <c r="U38" s="20" t="s">
        <v>192</v>
      </c>
    </row>
    <row r="39" spans="1:21" s="8" customFormat="1" ht="20.100000000000001" customHeight="1" x14ac:dyDescent="0.25">
      <c r="A39" s="9" t="str">
        <f>("303")</f>
        <v>303</v>
      </c>
      <c r="B39" s="9" t="str">
        <f>("142784")</f>
        <v>142784</v>
      </c>
      <c r="C39" s="10" t="s">
        <v>84</v>
      </c>
      <c r="D39" s="10" t="s">
        <v>85</v>
      </c>
      <c r="E39" s="10" t="s">
        <v>18</v>
      </c>
      <c r="F39" s="10" t="s">
        <v>86</v>
      </c>
      <c r="G39" s="17" t="s">
        <v>0</v>
      </c>
      <c r="H39" s="20" t="s">
        <v>197</v>
      </c>
      <c r="I39" s="20" t="s">
        <v>197</v>
      </c>
      <c r="J39" s="20" t="s">
        <v>197</v>
      </c>
      <c r="K39" s="20" t="s">
        <v>197</v>
      </c>
      <c r="L39" s="20" t="s">
        <v>197</v>
      </c>
      <c r="M39" s="20" t="s">
        <v>197</v>
      </c>
      <c r="N39" s="20" t="s">
        <v>197</v>
      </c>
      <c r="O39" s="20" t="s">
        <v>197</v>
      </c>
      <c r="P39" s="20" t="s">
        <v>197</v>
      </c>
      <c r="Q39" s="20" t="s">
        <v>197</v>
      </c>
      <c r="R39" s="20" t="s">
        <v>197</v>
      </c>
      <c r="S39" s="20" t="s">
        <v>197</v>
      </c>
      <c r="T39" s="18" t="s">
        <v>197</v>
      </c>
      <c r="U39" s="20" t="s">
        <v>197</v>
      </c>
    </row>
    <row r="40" spans="1:21" s="8" customFormat="1" ht="20.100000000000001" customHeight="1" x14ac:dyDescent="0.25">
      <c r="A40" s="9"/>
      <c r="B40" s="9"/>
      <c r="C40" s="10"/>
      <c r="D40" s="10"/>
      <c r="E40" s="10"/>
      <c r="F40" s="10"/>
      <c r="G40" s="17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8"/>
      <c r="U40" s="20"/>
    </row>
    <row r="41" spans="1:21" s="8" customFormat="1" ht="20.100000000000001" customHeight="1" x14ac:dyDescent="0.25">
      <c r="A41" s="9" t="str">
        <f>("804")</f>
        <v>804</v>
      </c>
      <c r="B41" s="9" t="str">
        <f>("51011")</f>
        <v>51011</v>
      </c>
      <c r="C41" s="10" t="s">
        <v>144</v>
      </c>
      <c r="D41" s="10" t="s">
        <v>145</v>
      </c>
      <c r="E41" s="10" t="s">
        <v>9</v>
      </c>
      <c r="F41" s="10" t="s">
        <v>146</v>
      </c>
      <c r="G41" s="17" t="s">
        <v>147</v>
      </c>
      <c r="H41" s="20">
        <v>5</v>
      </c>
      <c r="I41" s="20">
        <v>1</v>
      </c>
      <c r="J41" s="20">
        <v>0</v>
      </c>
      <c r="K41" s="20">
        <v>0</v>
      </c>
      <c r="L41" s="20">
        <v>0</v>
      </c>
      <c r="M41" s="20">
        <v>4</v>
      </c>
      <c r="N41" s="20">
        <v>3</v>
      </c>
      <c r="O41" s="20">
        <v>2</v>
      </c>
      <c r="P41" s="20">
        <v>0</v>
      </c>
      <c r="Q41" s="20">
        <v>0</v>
      </c>
      <c r="R41" s="20">
        <v>0</v>
      </c>
      <c r="S41" s="20">
        <v>0</v>
      </c>
      <c r="T41" s="18">
        <f t="shared" ref="T41:T47" si="3">SUM(H41:S41)</f>
        <v>15</v>
      </c>
      <c r="U41" s="20" t="s">
        <v>188</v>
      </c>
    </row>
    <row r="42" spans="1:21" s="8" customFormat="1" ht="20.100000000000001" customHeight="1" x14ac:dyDescent="0.25">
      <c r="A42" s="9" t="str">
        <f>("523")</f>
        <v>523</v>
      </c>
      <c r="B42" s="9" t="str">
        <f>("191912")</f>
        <v>191912</v>
      </c>
      <c r="C42" s="10" t="s">
        <v>127</v>
      </c>
      <c r="D42" s="10" t="s">
        <v>125</v>
      </c>
      <c r="E42" s="10" t="s">
        <v>9</v>
      </c>
      <c r="F42" s="10" t="s">
        <v>128</v>
      </c>
      <c r="G42" s="17" t="s">
        <v>0</v>
      </c>
      <c r="H42" s="20">
        <v>0</v>
      </c>
      <c r="I42" s="20">
        <v>0</v>
      </c>
      <c r="J42" s="20">
        <v>1</v>
      </c>
      <c r="K42" s="20">
        <v>3</v>
      </c>
      <c r="L42" s="20">
        <v>0</v>
      </c>
      <c r="M42" s="20">
        <v>7</v>
      </c>
      <c r="N42" s="20">
        <v>6</v>
      </c>
      <c r="O42" s="20">
        <v>7</v>
      </c>
      <c r="P42" s="20">
        <v>1</v>
      </c>
      <c r="Q42" s="20">
        <v>4</v>
      </c>
      <c r="R42" s="20">
        <v>7</v>
      </c>
      <c r="S42" s="20">
        <v>1</v>
      </c>
      <c r="T42" s="18">
        <f t="shared" si="3"/>
        <v>37</v>
      </c>
      <c r="U42" s="20" t="s">
        <v>189</v>
      </c>
    </row>
    <row r="43" spans="1:21" s="8" customFormat="1" ht="20.100000000000001" customHeight="1" x14ac:dyDescent="0.25">
      <c r="A43" s="9" t="str">
        <f>("143")</f>
        <v>143</v>
      </c>
      <c r="B43" s="9" t="str">
        <f>("86938")</f>
        <v>86938</v>
      </c>
      <c r="C43" s="10" t="s">
        <v>53</v>
      </c>
      <c r="D43" s="10" t="s">
        <v>54</v>
      </c>
      <c r="E43" s="10" t="s">
        <v>9</v>
      </c>
      <c r="F43" s="10" t="s">
        <v>55</v>
      </c>
      <c r="G43" s="17" t="s">
        <v>0</v>
      </c>
      <c r="H43" s="20">
        <v>0</v>
      </c>
      <c r="I43" s="20">
        <v>5</v>
      </c>
      <c r="J43" s="20">
        <v>1</v>
      </c>
      <c r="K43" s="20">
        <v>3</v>
      </c>
      <c r="L43" s="20">
        <v>0</v>
      </c>
      <c r="M43" s="20">
        <v>8</v>
      </c>
      <c r="N43" s="20">
        <v>11</v>
      </c>
      <c r="O43" s="20">
        <v>3</v>
      </c>
      <c r="P43" s="20">
        <v>0</v>
      </c>
      <c r="Q43" s="20">
        <v>6</v>
      </c>
      <c r="R43" s="20">
        <v>2</v>
      </c>
      <c r="S43" s="20">
        <v>0</v>
      </c>
      <c r="T43" s="18">
        <f t="shared" si="3"/>
        <v>39</v>
      </c>
      <c r="U43" s="20" t="s">
        <v>190</v>
      </c>
    </row>
    <row r="44" spans="1:21" s="8" customFormat="1" ht="20.100000000000001" customHeight="1" x14ac:dyDescent="0.25">
      <c r="A44" s="9" t="str">
        <f>("395")</f>
        <v>395</v>
      </c>
      <c r="B44" s="9" t="str">
        <f>("204244")</f>
        <v>204244</v>
      </c>
      <c r="C44" s="10" t="s">
        <v>103</v>
      </c>
      <c r="D44" s="10" t="s">
        <v>104</v>
      </c>
      <c r="E44" s="10" t="s">
        <v>9</v>
      </c>
      <c r="F44" s="10" t="s">
        <v>105</v>
      </c>
      <c r="G44" s="17" t="s">
        <v>0</v>
      </c>
      <c r="H44" s="20">
        <v>0</v>
      </c>
      <c r="I44" s="20">
        <v>1</v>
      </c>
      <c r="J44" s="20">
        <v>1</v>
      </c>
      <c r="K44" s="20">
        <v>6</v>
      </c>
      <c r="L44" s="20">
        <v>0</v>
      </c>
      <c r="M44" s="20">
        <v>8</v>
      </c>
      <c r="N44" s="20">
        <v>11</v>
      </c>
      <c r="O44" s="20">
        <v>2</v>
      </c>
      <c r="P44" s="20">
        <v>0</v>
      </c>
      <c r="Q44" s="20">
        <v>6</v>
      </c>
      <c r="R44" s="20">
        <v>12</v>
      </c>
      <c r="S44" s="20">
        <v>0</v>
      </c>
      <c r="T44" s="18">
        <f t="shared" si="3"/>
        <v>47</v>
      </c>
      <c r="U44" s="20" t="s">
        <v>191</v>
      </c>
    </row>
    <row r="45" spans="1:21" s="8" customFormat="1" ht="20.100000000000001" customHeight="1" x14ac:dyDescent="0.25">
      <c r="A45" s="9" t="str">
        <f>("13")</f>
        <v>13</v>
      </c>
      <c r="B45" s="9" t="str">
        <f>("139009")</f>
        <v>139009</v>
      </c>
      <c r="C45" s="10" t="s">
        <v>7</v>
      </c>
      <c r="D45" s="10" t="s">
        <v>8</v>
      </c>
      <c r="E45" s="10" t="s">
        <v>9</v>
      </c>
      <c r="F45" s="10" t="s">
        <v>10</v>
      </c>
      <c r="G45" s="17" t="s">
        <v>0</v>
      </c>
      <c r="H45" s="20">
        <v>0</v>
      </c>
      <c r="I45" s="20">
        <v>2</v>
      </c>
      <c r="J45" s="20">
        <v>0</v>
      </c>
      <c r="K45" s="20">
        <v>0</v>
      </c>
      <c r="L45" s="20">
        <v>0</v>
      </c>
      <c r="M45" s="20">
        <v>11</v>
      </c>
      <c r="N45" s="20">
        <v>10</v>
      </c>
      <c r="O45" s="20">
        <v>6</v>
      </c>
      <c r="P45" s="20">
        <v>5</v>
      </c>
      <c r="Q45" s="20">
        <v>7</v>
      </c>
      <c r="R45" s="20">
        <v>8</v>
      </c>
      <c r="S45" s="20">
        <v>3</v>
      </c>
      <c r="T45" s="18">
        <f t="shared" si="3"/>
        <v>52</v>
      </c>
      <c r="U45" s="20" t="s">
        <v>192</v>
      </c>
    </row>
    <row r="46" spans="1:21" s="8" customFormat="1" ht="20.100000000000001" customHeight="1" x14ac:dyDescent="0.25">
      <c r="A46" s="9" t="str">
        <f>("816")</f>
        <v>816</v>
      </c>
      <c r="B46" s="9" t="str">
        <f>("150144")</f>
        <v>150144</v>
      </c>
      <c r="C46" s="10" t="s">
        <v>160</v>
      </c>
      <c r="D46" s="10" t="s">
        <v>161</v>
      </c>
      <c r="E46" s="10" t="s">
        <v>9</v>
      </c>
      <c r="F46" s="10" t="s">
        <v>162</v>
      </c>
      <c r="G46" s="17" t="s">
        <v>37</v>
      </c>
      <c r="H46" s="20">
        <v>1</v>
      </c>
      <c r="I46" s="20">
        <v>0</v>
      </c>
      <c r="J46" s="20">
        <v>7</v>
      </c>
      <c r="K46" s="20">
        <v>6</v>
      </c>
      <c r="L46" s="20">
        <v>5</v>
      </c>
      <c r="M46" s="20">
        <v>10</v>
      </c>
      <c r="N46" s="20">
        <v>5</v>
      </c>
      <c r="O46" s="20">
        <v>3</v>
      </c>
      <c r="P46" s="20">
        <v>2</v>
      </c>
      <c r="Q46" s="20">
        <v>5</v>
      </c>
      <c r="R46" s="20">
        <v>8</v>
      </c>
      <c r="S46" s="20">
        <v>10</v>
      </c>
      <c r="T46" s="18">
        <f t="shared" si="3"/>
        <v>62</v>
      </c>
      <c r="U46" s="20" t="s">
        <v>193</v>
      </c>
    </row>
    <row r="47" spans="1:21" s="8" customFormat="1" ht="20.100000000000001" customHeight="1" x14ac:dyDescent="0.25">
      <c r="A47" s="9" t="str">
        <f>("428")</f>
        <v>428</v>
      </c>
      <c r="B47" s="9" t="str">
        <f>("204715")</f>
        <v>204715</v>
      </c>
      <c r="C47" s="10" t="s">
        <v>63</v>
      </c>
      <c r="D47" s="10" t="s">
        <v>109</v>
      </c>
      <c r="E47" s="10" t="s">
        <v>9</v>
      </c>
      <c r="F47" s="10" t="s">
        <v>110</v>
      </c>
      <c r="G47" s="17" t="s">
        <v>0</v>
      </c>
      <c r="H47" s="20">
        <v>0</v>
      </c>
      <c r="I47" s="20">
        <v>4</v>
      </c>
      <c r="J47" s="20">
        <v>7</v>
      </c>
      <c r="K47" s="20">
        <v>10</v>
      </c>
      <c r="L47" s="20">
        <v>0</v>
      </c>
      <c r="M47" s="20">
        <v>7</v>
      </c>
      <c r="N47" s="20">
        <v>13</v>
      </c>
      <c r="O47" s="20">
        <v>15</v>
      </c>
      <c r="P47" s="20">
        <v>5</v>
      </c>
      <c r="Q47" s="20">
        <v>13</v>
      </c>
      <c r="R47" s="20">
        <v>15</v>
      </c>
      <c r="S47" s="20">
        <v>9</v>
      </c>
      <c r="T47" s="18">
        <f t="shared" si="3"/>
        <v>98</v>
      </c>
      <c r="U47" s="20" t="s">
        <v>194</v>
      </c>
    </row>
    <row r="48" spans="1:21" s="8" customFormat="1" ht="20.100000000000001" customHeight="1" x14ac:dyDescent="0.25">
      <c r="A48" s="9"/>
      <c r="B48" s="9"/>
      <c r="C48" s="10"/>
      <c r="D48" s="10"/>
      <c r="E48" s="10"/>
      <c r="F48" s="10"/>
      <c r="G48" s="17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8"/>
      <c r="U48" s="20"/>
    </row>
    <row r="49" spans="1:21" s="8" customFormat="1" ht="20.100000000000001" customHeight="1" x14ac:dyDescent="0.25">
      <c r="A49" s="9" t="str">
        <f>("37")</f>
        <v>37</v>
      </c>
      <c r="B49" s="9" t="str">
        <f>("116173")</f>
        <v>116173</v>
      </c>
      <c r="C49" s="10" t="s">
        <v>20</v>
      </c>
      <c r="D49" s="10" t="s">
        <v>21</v>
      </c>
      <c r="E49" s="10" t="s">
        <v>22</v>
      </c>
      <c r="F49" s="10" t="s">
        <v>23</v>
      </c>
      <c r="G49" s="17" t="s">
        <v>0</v>
      </c>
      <c r="H49" s="20">
        <v>2</v>
      </c>
      <c r="I49" s="20">
        <v>0</v>
      </c>
      <c r="J49" s="20">
        <v>5</v>
      </c>
      <c r="K49" s="20">
        <v>0</v>
      </c>
      <c r="L49" s="20">
        <v>0</v>
      </c>
      <c r="M49" s="20">
        <v>7</v>
      </c>
      <c r="N49" s="20">
        <v>3</v>
      </c>
      <c r="O49" s="20">
        <v>2</v>
      </c>
      <c r="P49" s="20">
        <v>0</v>
      </c>
      <c r="Q49" s="20">
        <v>1</v>
      </c>
      <c r="R49" s="20">
        <v>3</v>
      </c>
      <c r="S49" s="20">
        <v>0</v>
      </c>
      <c r="T49" s="18">
        <f>SUM(H49:S49)</f>
        <v>23</v>
      </c>
      <c r="U49" s="20" t="s">
        <v>188</v>
      </c>
    </row>
    <row r="50" spans="1:21" s="8" customFormat="1" ht="20.100000000000001" customHeight="1" x14ac:dyDescent="0.25">
      <c r="A50" s="9"/>
      <c r="B50" s="9"/>
      <c r="C50" s="10"/>
      <c r="D50" s="10"/>
      <c r="E50" s="10"/>
      <c r="F50" s="10"/>
      <c r="G50" s="17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18"/>
      <c r="U50" s="20"/>
    </row>
    <row r="51" spans="1:21" s="8" customFormat="1" ht="20.100000000000001" customHeight="1" x14ac:dyDescent="0.25">
      <c r="A51" s="9" t="str">
        <f>("441")</f>
        <v>441</v>
      </c>
      <c r="B51" s="9" t="str">
        <f>("124853")</f>
        <v>124853</v>
      </c>
      <c r="C51" s="10" t="s">
        <v>111</v>
      </c>
      <c r="D51" s="10" t="s">
        <v>115</v>
      </c>
      <c r="E51" s="10" t="s">
        <v>116</v>
      </c>
      <c r="F51" s="10" t="s">
        <v>117</v>
      </c>
      <c r="G51" s="17" t="s">
        <v>0</v>
      </c>
      <c r="H51" s="20">
        <v>0</v>
      </c>
      <c r="I51" s="20">
        <v>6</v>
      </c>
      <c r="J51" s="20">
        <v>0</v>
      </c>
      <c r="K51" s="20">
        <v>5</v>
      </c>
      <c r="L51" s="20">
        <v>0</v>
      </c>
      <c r="M51" s="20">
        <v>0</v>
      </c>
      <c r="N51" s="20">
        <v>11</v>
      </c>
      <c r="O51" s="20">
        <v>8</v>
      </c>
      <c r="P51" s="20">
        <v>0</v>
      </c>
      <c r="Q51" s="20">
        <v>0</v>
      </c>
      <c r="R51" s="20">
        <v>0</v>
      </c>
      <c r="S51" s="20">
        <v>0</v>
      </c>
      <c r="T51" s="18">
        <f>SUM(H51:S51)</f>
        <v>30</v>
      </c>
      <c r="U51" s="20" t="s">
        <v>188</v>
      </c>
    </row>
    <row r="52" spans="1:21" s="8" customFormat="1" ht="20.100000000000001" customHeight="1" x14ac:dyDescent="0.25">
      <c r="A52" s="9" t="str">
        <f>("803")</f>
        <v>803</v>
      </c>
      <c r="B52" s="9" t="str">
        <f>("172452")</f>
        <v>172452</v>
      </c>
      <c r="C52" s="10" t="s">
        <v>60</v>
      </c>
      <c r="D52" s="10" t="s">
        <v>141</v>
      </c>
      <c r="E52" s="10" t="s">
        <v>116</v>
      </c>
      <c r="F52" s="10" t="s">
        <v>142</v>
      </c>
      <c r="G52" s="17" t="s">
        <v>143</v>
      </c>
      <c r="H52" s="20" t="s">
        <v>197</v>
      </c>
      <c r="I52" s="20" t="s">
        <v>197</v>
      </c>
      <c r="J52" s="20" t="s">
        <v>197</v>
      </c>
      <c r="K52" s="20" t="s">
        <v>197</v>
      </c>
      <c r="L52" s="20" t="s">
        <v>197</v>
      </c>
      <c r="M52" s="20" t="s">
        <v>197</v>
      </c>
      <c r="N52" s="20" t="s">
        <v>197</v>
      </c>
      <c r="O52" s="20" t="s">
        <v>197</v>
      </c>
      <c r="P52" s="20" t="s">
        <v>197</v>
      </c>
      <c r="Q52" s="20" t="s">
        <v>197</v>
      </c>
      <c r="R52" s="20" t="s">
        <v>197</v>
      </c>
      <c r="S52" s="20" t="s">
        <v>197</v>
      </c>
      <c r="T52" s="18" t="s">
        <v>197</v>
      </c>
      <c r="U52" s="20" t="s">
        <v>197</v>
      </c>
    </row>
    <row r="53" spans="1:21" s="8" customFormat="1" ht="20.100000000000001" customHeight="1" x14ac:dyDescent="0.25">
      <c r="A53" s="9"/>
      <c r="B53" s="9"/>
      <c r="C53" s="10"/>
      <c r="D53" s="10"/>
      <c r="E53" s="10"/>
      <c r="F53" s="10"/>
      <c r="G53" s="17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18"/>
      <c r="U53" s="20"/>
    </row>
    <row r="54" spans="1:21" s="8" customFormat="1" ht="20.100000000000001" customHeight="1" x14ac:dyDescent="0.25">
      <c r="A54" s="9" t="str">
        <f>("362")</f>
        <v>362</v>
      </c>
      <c r="B54" s="9" t="str">
        <f>("90799")</f>
        <v>90799</v>
      </c>
      <c r="C54" s="10" t="s">
        <v>20</v>
      </c>
      <c r="D54" s="10" t="s">
        <v>98</v>
      </c>
      <c r="E54" s="10" t="s">
        <v>13</v>
      </c>
      <c r="F54" s="10" t="s">
        <v>99</v>
      </c>
      <c r="G54" s="17" t="s">
        <v>37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1</v>
      </c>
      <c r="N54" s="20">
        <v>1</v>
      </c>
      <c r="O54" s="20">
        <v>2</v>
      </c>
      <c r="P54" s="20">
        <v>0</v>
      </c>
      <c r="Q54" s="20">
        <v>1</v>
      </c>
      <c r="R54" s="20">
        <v>1</v>
      </c>
      <c r="S54" s="20">
        <v>0</v>
      </c>
      <c r="T54" s="18">
        <f t="shared" ref="T54:T65" si="4">SUM(H54:S54)</f>
        <v>6</v>
      </c>
      <c r="U54" s="20" t="s">
        <v>188</v>
      </c>
    </row>
    <row r="55" spans="1:21" s="8" customFormat="1" ht="20.100000000000001" customHeight="1" x14ac:dyDescent="0.25">
      <c r="A55" s="9" t="str">
        <f>("16")</f>
        <v>16</v>
      </c>
      <c r="B55" s="9" t="str">
        <f>("81191")</f>
        <v>81191</v>
      </c>
      <c r="C55" s="10" t="s">
        <v>11</v>
      </c>
      <c r="D55" s="10" t="s">
        <v>12</v>
      </c>
      <c r="E55" s="10" t="s">
        <v>13</v>
      </c>
      <c r="F55" s="10" t="s">
        <v>14</v>
      </c>
      <c r="G55" s="17" t="s">
        <v>15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3</v>
      </c>
      <c r="N55" s="20">
        <v>3</v>
      </c>
      <c r="O55" s="20">
        <v>1</v>
      </c>
      <c r="P55" s="20">
        <v>0</v>
      </c>
      <c r="Q55" s="20">
        <v>2</v>
      </c>
      <c r="R55" s="20">
        <v>0</v>
      </c>
      <c r="S55" s="20">
        <v>0</v>
      </c>
      <c r="T55" s="18">
        <f t="shared" si="4"/>
        <v>9</v>
      </c>
      <c r="U55" s="20" t="s">
        <v>189</v>
      </c>
    </row>
    <row r="56" spans="1:21" s="8" customFormat="1" ht="20.100000000000001" customHeight="1" x14ac:dyDescent="0.25">
      <c r="A56" s="9" t="str">
        <f>("129")</f>
        <v>129</v>
      </c>
      <c r="B56" s="9" t="str">
        <f>("91197")</f>
        <v>91197</v>
      </c>
      <c r="C56" s="10" t="s">
        <v>34</v>
      </c>
      <c r="D56" s="10" t="s">
        <v>49</v>
      </c>
      <c r="E56" s="10" t="s">
        <v>13</v>
      </c>
      <c r="F56" s="10" t="s">
        <v>50</v>
      </c>
      <c r="G56" s="17" t="s">
        <v>0</v>
      </c>
      <c r="H56" s="20">
        <v>0</v>
      </c>
      <c r="I56" s="20">
        <v>1</v>
      </c>
      <c r="J56" s="20">
        <v>0</v>
      </c>
      <c r="K56" s="20">
        <v>0</v>
      </c>
      <c r="L56" s="20">
        <v>0</v>
      </c>
      <c r="M56" s="20">
        <v>2</v>
      </c>
      <c r="N56" s="20">
        <v>2</v>
      </c>
      <c r="O56" s="20">
        <v>4</v>
      </c>
      <c r="P56" s="20">
        <v>0</v>
      </c>
      <c r="Q56" s="20">
        <v>2</v>
      </c>
      <c r="R56" s="20">
        <v>2</v>
      </c>
      <c r="S56" s="20">
        <v>1</v>
      </c>
      <c r="T56" s="18">
        <f t="shared" si="4"/>
        <v>14</v>
      </c>
      <c r="U56" s="20" t="s">
        <v>190</v>
      </c>
    </row>
    <row r="57" spans="1:21" s="8" customFormat="1" ht="20.100000000000001" customHeight="1" x14ac:dyDescent="0.25">
      <c r="A57" s="9" t="str">
        <f>("63")</f>
        <v>63</v>
      </c>
      <c r="B57" s="9" t="str">
        <f>("185750")</f>
        <v>185750</v>
      </c>
      <c r="C57" s="10" t="s">
        <v>27</v>
      </c>
      <c r="D57" s="10" t="s">
        <v>28</v>
      </c>
      <c r="E57" s="10" t="s">
        <v>13</v>
      </c>
      <c r="F57" s="10" t="s">
        <v>29</v>
      </c>
      <c r="G57" s="17" t="s">
        <v>0</v>
      </c>
      <c r="H57" s="20">
        <v>0</v>
      </c>
      <c r="I57" s="20">
        <v>0</v>
      </c>
      <c r="J57" s="20">
        <v>0</v>
      </c>
      <c r="K57" s="20">
        <v>2</v>
      </c>
      <c r="L57" s="20">
        <v>0</v>
      </c>
      <c r="M57" s="20">
        <v>3</v>
      </c>
      <c r="N57" s="20">
        <v>2</v>
      </c>
      <c r="O57" s="20">
        <v>2</v>
      </c>
      <c r="P57" s="20">
        <v>1</v>
      </c>
      <c r="Q57" s="20">
        <v>4</v>
      </c>
      <c r="R57" s="20">
        <v>5</v>
      </c>
      <c r="S57" s="20">
        <v>0</v>
      </c>
      <c r="T57" s="18">
        <f t="shared" si="4"/>
        <v>19</v>
      </c>
      <c r="U57" s="20" t="s">
        <v>191</v>
      </c>
    </row>
    <row r="58" spans="1:21" s="8" customFormat="1" ht="20.100000000000001" customHeight="1" x14ac:dyDescent="0.25">
      <c r="A58" s="9" t="str">
        <f>("88")</f>
        <v>88</v>
      </c>
      <c r="B58" s="9" t="str">
        <f>("144169")</f>
        <v>144169</v>
      </c>
      <c r="C58" s="10" t="s">
        <v>34</v>
      </c>
      <c r="D58" s="10" t="s">
        <v>35</v>
      </c>
      <c r="E58" s="10" t="s">
        <v>13</v>
      </c>
      <c r="F58" s="10" t="s">
        <v>36</v>
      </c>
      <c r="G58" s="17" t="s">
        <v>37</v>
      </c>
      <c r="H58" s="20">
        <v>0</v>
      </c>
      <c r="I58" s="20">
        <v>5</v>
      </c>
      <c r="J58" s="20">
        <v>0</v>
      </c>
      <c r="K58" s="20">
        <v>2</v>
      </c>
      <c r="L58" s="20">
        <v>0</v>
      </c>
      <c r="M58" s="20">
        <v>2</v>
      </c>
      <c r="N58" s="20">
        <v>2</v>
      </c>
      <c r="O58" s="20">
        <v>4</v>
      </c>
      <c r="P58" s="20">
        <v>0</v>
      </c>
      <c r="Q58" s="20">
        <v>2</v>
      </c>
      <c r="R58" s="20">
        <v>5</v>
      </c>
      <c r="S58" s="20">
        <v>0</v>
      </c>
      <c r="T58" s="18">
        <f t="shared" si="4"/>
        <v>22</v>
      </c>
      <c r="U58" s="20" t="s">
        <v>192</v>
      </c>
    </row>
    <row r="59" spans="1:21" s="8" customFormat="1" ht="20.100000000000001" customHeight="1" x14ac:dyDescent="0.25">
      <c r="A59" s="9" t="str">
        <f>("708")</f>
        <v>708</v>
      </c>
      <c r="B59" s="9" t="str">
        <f>("10263")</f>
        <v>10263</v>
      </c>
      <c r="C59" s="10" t="s">
        <v>16</v>
      </c>
      <c r="D59" s="10" t="s">
        <v>129</v>
      </c>
      <c r="E59" s="10" t="s">
        <v>13</v>
      </c>
      <c r="F59" s="10" t="s">
        <v>130</v>
      </c>
      <c r="G59" s="17" t="s">
        <v>0</v>
      </c>
      <c r="H59" s="20">
        <v>5</v>
      </c>
      <c r="I59" s="20">
        <v>1</v>
      </c>
      <c r="J59" s="20">
        <v>0</v>
      </c>
      <c r="K59" s="20">
        <v>4</v>
      </c>
      <c r="L59" s="20">
        <v>0</v>
      </c>
      <c r="M59" s="20">
        <v>5</v>
      </c>
      <c r="N59" s="20">
        <v>3</v>
      </c>
      <c r="O59" s="20">
        <v>2</v>
      </c>
      <c r="P59" s="20">
        <v>0</v>
      </c>
      <c r="Q59" s="20">
        <v>2</v>
      </c>
      <c r="R59" s="20">
        <v>1</v>
      </c>
      <c r="S59" s="20">
        <v>0</v>
      </c>
      <c r="T59" s="18">
        <f t="shared" si="4"/>
        <v>23</v>
      </c>
      <c r="U59" s="20" t="s">
        <v>193</v>
      </c>
    </row>
    <row r="60" spans="1:21" s="8" customFormat="1" ht="20.100000000000001" customHeight="1" x14ac:dyDescent="0.25">
      <c r="A60" s="9">
        <v>820</v>
      </c>
      <c r="B60" s="9" t="str">
        <f>("202739")</f>
        <v>202739</v>
      </c>
      <c r="C60" s="10" t="s">
        <v>56</v>
      </c>
      <c r="D60" s="10" t="s">
        <v>156</v>
      </c>
      <c r="E60" s="10" t="s">
        <v>13</v>
      </c>
      <c r="F60" s="10" t="s">
        <v>157</v>
      </c>
      <c r="G60" s="17" t="s">
        <v>0</v>
      </c>
      <c r="H60" s="20">
        <v>0</v>
      </c>
      <c r="I60" s="20">
        <v>1</v>
      </c>
      <c r="J60" s="20">
        <v>1</v>
      </c>
      <c r="K60" s="20">
        <v>4</v>
      </c>
      <c r="L60" s="20">
        <v>0</v>
      </c>
      <c r="M60" s="20">
        <v>9</v>
      </c>
      <c r="N60" s="20">
        <v>7</v>
      </c>
      <c r="O60" s="20">
        <v>3</v>
      </c>
      <c r="P60" s="20">
        <v>0</v>
      </c>
      <c r="Q60" s="20">
        <v>3</v>
      </c>
      <c r="R60" s="20">
        <v>6</v>
      </c>
      <c r="S60" s="20">
        <v>1</v>
      </c>
      <c r="T60" s="18">
        <f t="shared" si="4"/>
        <v>35</v>
      </c>
      <c r="U60" s="20" t="s">
        <v>194</v>
      </c>
    </row>
    <row r="61" spans="1:21" s="8" customFormat="1" ht="20.100000000000001" customHeight="1" x14ac:dyDescent="0.25">
      <c r="A61" s="9" t="str">
        <f>("57")</f>
        <v>57</v>
      </c>
      <c r="B61" s="9" t="str">
        <f>("121323")</f>
        <v>121323</v>
      </c>
      <c r="C61" s="10" t="s">
        <v>24</v>
      </c>
      <c r="D61" s="10" t="s">
        <v>25</v>
      </c>
      <c r="E61" s="10" t="s">
        <v>13</v>
      </c>
      <c r="F61" s="10" t="s">
        <v>26</v>
      </c>
      <c r="G61" s="17" t="s">
        <v>0</v>
      </c>
      <c r="H61" s="20">
        <v>0</v>
      </c>
      <c r="I61" s="20">
        <v>6</v>
      </c>
      <c r="J61" s="20">
        <v>0</v>
      </c>
      <c r="K61" s="20">
        <v>6</v>
      </c>
      <c r="L61" s="20">
        <v>0</v>
      </c>
      <c r="M61" s="20">
        <v>6</v>
      </c>
      <c r="N61" s="20">
        <v>6</v>
      </c>
      <c r="O61" s="20">
        <v>1</v>
      </c>
      <c r="P61" s="20">
        <v>0</v>
      </c>
      <c r="Q61" s="20">
        <v>3</v>
      </c>
      <c r="R61" s="20">
        <v>4</v>
      </c>
      <c r="S61" s="20">
        <v>5</v>
      </c>
      <c r="T61" s="18">
        <f t="shared" si="4"/>
        <v>37</v>
      </c>
      <c r="U61" s="20" t="s">
        <v>195</v>
      </c>
    </row>
    <row r="62" spans="1:21" s="8" customFormat="1" ht="20.100000000000001" customHeight="1" x14ac:dyDescent="0.25">
      <c r="A62" s="9" t="str">
        <f>("807")</f>
        <v>807</v>
      </c>
      <c r="B62" s="9" t="str">
        <f>("148401")</f>
        <v>148401</v>
      </c>
      <c r="C62" s="10" t="s">
        <v>151</v>
      </c>
      <c r="D62" s="10" t="s">
        <v>152</v>
      </c>
      <c r="E62" s="10" t="s">
        <v>13</v>
      </c>
      <c r="F62" s="10" t="s">
        <v>153</v>
      </c>
      <c r="G62" s="17" t="s">
        <v>0</v>
      </c>
      <c r="H62" s="20">
        <v>0</v>
      </c>
      <c r="I62" s="20">
        <v>1</v>
      </c>
      <c r="J62" s="20">
        <v>0</v>
      </c>
      <c r="K62" s="20">
        <v>4</v>
      </c>
      <c r="L62" s="20">
        <v>0</v>
      </c>
      <c r="M62" s="20">
        <v>5</v>
      </c>
      <c r="N62" s="20">
        <v>10</v>
      </c>
      <c r="O62" s="20">
        <v>2</v>
      </c>
      <c r="P62" s="20">
        <v>0</v>
      </c>
      <c r="Q62" s="20">
        <v>6</v>
      </c>
      <c r="R62" s="20">
        <v>10</v>
      </c>
      <c r="S62" s="20">
        <v>3</v>
      </c>
      <c r="T62" s="18">
        <f t="shared" si="4"/>
        <v>41</v>
      </c>
      <c r="U62" s="20" t="s">
        <v>196</v>
      </c>
    </row>
    <row r="63" spans="1:21" s="8" customFormat="1" ht="20.100000000000001" customHeight="1" x14ac:dyDescent="0.25">
      <c r="A63" s="9" t="str">
        <f>("132")</f>
        <v>132</v>
      </c>
      <c r="B63" s="9" t="str">
        <f>("177200")</f>
        <v>177200</v>
      </c>
      <c r="C63" s="10" t="s">
        <v>51</v>
      </c>
      <c r="D63" s="10" t="s">
        <v>49</v>
      </c>
      <c r="E63" s="10" t="s">
        <v>13</v>
      </c>
      <c r="F63" s="10" t="s">
        <v>52</v>
      </c>
      <c r="G63" s="17" t="s">
        <v>0</v>
      </c>
      <c r="H63" s="20">
        <v>0</v>
      </c>
      <c r="I63" s="20">
        <v>1</v>
      </c>
      <c r="J63" s="20">
        <v>2</v>
      </c>
      <c r="K63" s="20">
        <v>10</v>
      </c>
      <c r="L63" s="20">
        <v>5</v>
      </c>
      <c r="M63" s="20">
        <v>11</v>
      </c>
      <c r="N63" s="20">
        <v>11</v>
      </c>
      <c r="O63" s="20">
        <v>7</v>
      </c>
      <c r="P63" s="20">
        <v>0</v>
      </c>
      <c r="Q63" s="20">
        <v>5</v>
      </c>
      <c r="R63" s="20">
        <v>11</v>
      </c>
      <c r="S63" s="20">
        <v>0</v>
      </c>
      <c r="T63" s="18">
        <f t="shared" si="4"/>
        <v>63</v>
      </c>
      <c r="U63" s="20" t="s">
        <v>198</v>
      </c>
    </row>
    <row r="64" spans="1:21" s="8" customFormat="1" ht="20.100000000000001" customHeight="1" x14ac:dyDescent="0.25">
      <c r="A64" s="9" t="str">
        <f>("184")</f>
        <v>184</v>
      </c>
      <c r="B64" s="9" t="str">
        <f>("188685")</f>
        <v>188685</v>
      </c>
      <c r="C64" s="10" t="s">
        <v>63</v>
      </c>
      <c r="D64" s="10" t="s">
        <v>64</v>
      </c>
      <c r="E64" s="10" t="s">
        <v>13</v>
      </c>
      <c r="F64" s="10" t="s">
        <v>65</v>
      </c>
      <c r="G64" s="17" t="s">
        <v>0</v>
      </c>
      <c r="H64" s="20">
        <v>7</v>
      </c>
      <c r="I64" s="20">
        <v>3</v>
      </c>
      <c r="J64" s="20">
        <v>3</v>
      </c>
      <c r="K64" s="20">
        <v>10</v>
      </c>
      <c r="L64" s="20">
        <v>0</v>
      </c>
      <c r="M64" s="20">
        <v>1</v>
      </c>
      <c r="N64" s="20">
        <v>11</v>
      </c>
      <c r="O64" s="20">
        <v>15</v>
      </c>
      <c r="P64" s="20">
        <v>6</v>
      </c>
      <c r="Q64" s="20">
        <v>0</v>
      </c>
      <c r="R64" s="20">
        <v>12</v>
      </c>
      <c r="S64" s="20">
        <v>1</v>
      </c>
      <c r="T64" s="18">
        <f t="shared" si="4"/>
        <v>69</v>
      </c>
      <c r="U64" s="20" t="s">
        <v>199</v>
      </c>
    </row>
    <row r="65" spans="1:21" s="8" customFormat="1" ht="20.100000000000001" customHeight="1" x14ac:dyDescent="0.25">
      <c r="A65" s="9" t="str">
        <f>("911")</f>
        <v>911</v>
      </c>
      <c r="B65" s="9" t="str">
        <f>("149118")</f>
        <v>149118</v>
      </c>
      <c r="C65" s="10" t="s">
        <v>167</v>
      </c>
      <c r="D65" s="10" t="s">
        <v>168</v>
      </c>
      <c r="E65" s="10" t="s">
        <v>13</v>
      </c>
      <c r="F65" s="10" t="s">
        <v>169</v>
      </c>
      <c r="G65" s="17" t="s">
        <v>0</v>
      </c>
      <c r="H65" s="20">
        <v>1</v>
      </c>
      <c r="I65" s="20">
        <v>5</v>
      </c>
      <c r="J65" s="20">
        <v>3</v>
      </c>
      <c r="K65" s="20">
        <v>6</v>
      </c>
      <c r="L65" s="20">
        <v>0</v>
      </c>
      <c r="M65" s="20">
        <v>11</v>
      </c>
      <c r="N65" s="20">
        <v>15</v>
      </c>
      <c r="O65" s="20">
        <v>11</v>
      </c>
      <c r="P65" s="20">
        <v>0</v>
      </c>
      <c r="Q65" s="20">
        <v>10</v>
      </c>
      <c r="R65" s="20">
        <v>6</v>
      </c>
      <c r="S65" s="20">
        <v>2</v>
      </c>
      <c r="T65" s="18">
        <f t="shared" si="4"/>
        <v>70</v>
      </c>
      <c r="U65" s="20" t="s">
        <v>200</v>
      </c>
    </row>
    <row r="66" spans="1:21" s="8" customFormat="1" ht="20.100000000000001" customHeight="1" x14ac:dyDescent="0.25">
      <c r="A66" s="9" t="str">
        <f>("210")</f>
        <v>210</v>
      </c>
      <c r="B66" s="9" t="str">
        <f>("47137")</f>
        <v>47137</v>
      </c>
      <c r="C66" s="10" t="s">
        <v>75</v>
      </c>
      <c r="D66" s="10" t="s">
        <v>76</v>
      </c>
      <c r="E66" s="10" t="s">
        <v>13</v>
      </c>
      <c r="F66" s="10" t="s">
        <v>62</v>
      </c>
      <c r="G66" s="17" t="s">
        <v>0</v>
      </c>
      <c r="H66" s="20" t="s">
        <v>197</v>
      </c>
      <c r="I66" s="20" t="s">
        <v>197</v>
      </c>
      <c r="J66" s="20" t="s">
        <v>197</v>
      </c>
      <c r="K66" s="20" t="s">
        <v>197</v>
      </c>
      <c r="L66" s="20" t="s">
        <v>197</v>
      </c>
      <c r="M66" s="20" t="s">
        <v>197</v>
      </c>
      <c r="N66" s="20" t="s">
        <v>197</v>
      </c>
      <c r="O66" s="20" t="s">
        <v>197</v>
      </c>
      <c r="P66" s="20" t="s">
        <v>197</v>
      </c>
      <c r="Q66" s="20" t="s">
        <v>197</v>
      </c>
      <c r="R66" s="20" t="s">
        <v>197</v>
      </c>
      <c r="S66" s="20" t="s">
        <v>197</v>
      </c>
      <c r="T66" s="18" t="s">
        <v>197</v>
      </c>
      <c r="U66" s="20" t="s">
        <v>197</v>
      </c>
    </row>
    <row r="67" spans="1:21" s="8" customFormat="1" ht="20.100000000000001" customHeight="1" x14ac:dyDescent="0.25">
      <c r="A67" s="9" t="str">
        <f>("433")</f>
        <v>433</v>
      </c>
      <c r="B67" s="9" t="str">
        <f>("75121")</f>
        <v>75121</v>
      </c>
      <c r="C67" s="10" t="s">
        <v>111</v>
      </c>
      <c r="D67" s="10" t="s">
        <v>112</v>
      </c>
      <c r="E67" s="10" t="s">
        <v>13</v>
      </c>
      <c r="F67" s="10" t="s">
        <v>113</v>
      </c>
      <c r="G67" s="17" t="s">
        <v>114</v>
      </c>
      <c r="H67" s="20" t="s">
        <v>197</v>
      </c>
      <c r="I67" s="20" t="s">
        <v>197</v>
      </c>
      <c r="J67" s="20" t="s">
        <v>197</v>
      </c>
      <c r="K67" s="20" t="s">
        <v>197</v>
      </c>
      <c r="L67" s="20" t="s">
        <v>197</v>
      </c>
      <c r="M67" s="20" t="s">
        <v>197</v>
      </c>
      <c r="N67" s="20" t="s">
        <v>197</v>
      </c>
      <c r="O67" s="20" t="s">
        <v>197</v>
      </c>
      <c r="P67" s="20" t="s">
        <v>197</v>
      </c>
      <c r="Q67" s="20" t="s">
        <v>197</v>
      </c>
      <c r="R67" s="20" t="s">
        <v>197</v>
      </c>
      <c r="S67" s="20" t="s">
        <v>197</v>
      </c>
      <c r="T67" s="18" t="s">
        <v>197</v>
      </c>
      <c r="U67" s="20" t="s">
        <v>197</v>
      </c>
    </row>
    <row r="68" spans="1:21" s="8" customFormat="1" ht="20.100000000000001" customHeight="1" x14ac:dyDescent="0.25">
      <c r="A68" s="9"/>
      <c r="B68" s="9"/>
      <c r="C68" s="10"/>
      <c r="D68" s="10"/>
      <c r="E68" s="10"/>
      <c r="F68" s="10"/>
      <c r="G68" s="17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8"/>
      <c r="U68" s="20"/>
    </row>
    <row r="69" spans="1:21" s="8" customFormat="1" ht="20.100000000000001" customHeight="1" x14ac:dyDescent="0.25">
      <c r="A69" s="9" t="str">
        <f>("93")</f>
        <v>93</v>
      </c>
      <c r="B69" s="9" t="str">
        <f>("166122")</f>
        <v>166122</v>
      </c>
      <c r="C69" s="10" t="s">
        <v>38</v>
      </c>
      <c r="D69" s="10" t="s">
        <v>39</v>
      </c>
      <c r="E69" s="10" t="s">
        <v>40</v>
      </c>
      <c r="F69" s="10" t="s">
        <v>41</v>
      </c>
      <c r="G69" s="17" t="s">
        <v>42</v>
      </c>
      <c r="H69" s="20">
        <v>0</v>
      </c>
      <c r="I69" s="20">
        <v>0</v>
      </c>
      <c r="J69" s="20">
        <v>1</v>
      </c>
      <c r="K69" s="20">
        <v>0</v>
      </c>
      <c r="L69" s="20">
        <v>0</v>
      </c>
      <c r="M69" s="20">
        <v>3</v>
      </c>
      <c r="N69" s="20">
        <v>2</v>
      </c>
      <c r="O69" s="20">
        <v>1</v>
      </c>
      <c r="P69" s="20">
        <v>0</v>
      </c>
      <c r="Q69" s="20">
        <v>1</v>
      </c>
      <c r="R69" s="20">
        <v>1</v>
      </c>
      <c r="S69" s="20">
        <v>1</v>
      </c>
      <c r="T69" s="18">
        <f>SUM(H69:S69)</f>
        <v>10</v>
      </c>
      <c r="U69" s="20" t="s">
        <v>188</v>
      </c>
    </row>
    <row r="70" spans="1:21" s="8" customFormat="1" ht="20.100000000000001" customHeight="1" x14ac:dyDescent="0.25">
      <c r="A70" s="9"/>
      <c r="B70" s="9"/>
      <c r="C70" s="11"/>
      <c r="D70" s="11"/>
      <c r="E70" s="10"/>
      <c r="F70" s="10"/>
      <c r="G70" s="17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18"/>
      <c r="U70" s="20"/>
    </row>
    <row r="71" spans="1:21" s="8" customFormat="1" ht="20.100000000000001" customHeight="1" x14ac:dyDescent="0.25">
      <c r="A71" s="9" t="str">
        <f>("522")</f>
        <v>522</v>
      </c>
      <c r="B71" s="9" t="str">
        <f>("191998")</f>
        <v>191998</v>
      </c>
      <c r="C71" s="11" t="s">
        <v>124</v>
      </c>
      <c r="D71" s="11" t="s">
        <v>125</v>
      </c>
      <c r="E71" s="10" t="s">
        <v>72</v>
      </c>
      <c r="F71" s="10" t="s">
        <v>126</v>
      </c>
      <c r="G71" s="17" t="s">
        <v>0</v>
      </c>
      <c r="H71" s="20">
        <v>5</v>
      </c>
      <c r="I71" s="20">
        <v>4</v>
      </c>
      <c r="J71" s="20">
        <v>2</v>
      </c>
      <c r="K71" s="20">
        <v>9</v>
      </c>
      <c r="L71" s="20">
        <v>0</v>
      </c>
      <c r="M71" s="20">
        <v>6</v>
      </c>
      <c r="N71" s="20">
        <v>9</v>
      </c>
      <c r="O71" s="20">
        <v>5</v>
      </c>
      <c r="P71" s="20">
        <v>0</v>
      </c>
      <c r="Q71" s="20">
        <v>7</v>
      </c>
      <c r="R71" s="20">
        <v>9</v>
      </c>
      <c r="S71" s="20">
        <v>3</v>
      </c>
      <c r="T71" s="18">
        <f>SUM(H71:S71)</f>
        <v>59</v>
      </c>
      <c r="U71" s="20" t="s">
        <v>188</v>
      </c>
    </row>
    <row r="72" spans="1:21" s="8" customFormat="1" ht="20.100000000000001" customHeight="1" x14ac:dyDescent="0.25">
      <c r="A72" s="9" t="str">
        <f>("207")</f>
        <v>207</v>
      </c>
      <c r="B72" s="12" t="str">
        <f>("199784")</f>
        <v>199784</v>
      </c>
      <c r="C72" s="22" t="s">
        <v>70</v>
      </c>
      <c r="D72" s="22" t="s">
        <v>71</v>
      </c>
      <c r="E72" s="13" t="s">
        <v>72</v>
      </c>
      <c r="F72" s="10" t="s">
        <v>73</v>
      </c>
      <c r="G72" s="17" t="s">
        <v>74</v>
      </c>
      <c r="H72" s="20">
        <v>7</v>
      </c>
      <c r="I72" s="20">
        <v>9</v>
      </c>
      <c r="J72" s="20">
        <v>7</v>
      </c>
      <c r="K72" s="20">
        <v>5</v>
      </c>
      <c r="L72" s="20">
        <v>7</v>
      </c>
      <c r="M72" s="20">
        <v>6</v>
      </c>
      <c r="N72" s="20">
        <v>5</v>
      </c>
      <c r="O72" s="20">
        <v>10</v>
      </c>
      <c r="P72" s="20">
        <v>13</v>
      </c>
      <c r="Q72" s="20">
        <v>12</v>
      </c>
      <c r="R72" s="20">
        <v>10</v>
      </c>
      <c r="S72" s="20">
        <v>3</v>
      </c>
      <c r="T72" s="18">
        <f>SUM(H72:S72)</f>
        <v>94</v>
      </c>
      <c r="U72" s="20" t="s">
        <v>189</v>
      </c>
    </row>
    <row r="73" spans="1:21" s="8" customFormat="1" ht="20.100000000000001" customHeight="1" x14ac:dyDescent="0.25">
      <c r="A73" s="9" t="str">
        <f>("393")</f>
        <v>393</v>
      </c>
      <c r="B73" s="9" t="str">
        <f>("204153")</f>
        <v>204153</v>
      </c>
      <c r="C73" s="7" t="s">
        <v>100</v>
      </c>
      <c r="D73" s="7" t="s">
        <v>101</v>
      </c>
      <c r="E73" s="10" t="s">
        <v>72</v>
      </c>
      <c r="F73" s="10" t="s">
        <v>102</v>
      </c>
      <c r="G73" s="17" t="s">
        <v>0</v>
      </c>
      <c r="H73" s="20" t="s">
        <v>197</v>
      </c>
      <c r="I73" s="20" t="s">
        <v>197</v>
      </c>
      <c r="J73" s="20" t="s">
        <v>197</v>
      </c>
      <c r="K73" s="20" t="s">
        <v>197</v>
      </c>
      <c r="L73" s="20" t="s">
        <v>197</v>
      </c>
      <c r="M73" s="20" t="s">
        <v>197</v>
      </c>
      <c r="N73" s="20" t="s">
        <v>197</v>
      </c>
      <c r="O73" s="20" t="s">
        <v>197</v>
      </c>
      <c r="P73" s="20" t="s">
        <v>197</v>
      </c>
      <c r="Q73" s="20" t="s">
        <v>197</v>
      </c>
      <c r="R73" s="20" t="s">
        <v>197</v>
      </c>
      <c r="S73" s="20" t="s">
        <v>197</v>
      </c>
      <c r="T73" s="18" t="s">
        <v>197</v>
      </c>
      <c r="U73" s="20" t="s">
        <v>197</v>
      </c>
    </row>
  </sheetData>
  <sortState xmlns:xlrd2="http://schemas.microsoft.com/office/spreadsheetml/2017/richdata2" ref="A34:U35">
    <sortCondition ref="T34:T35"/>
  </sortState>
  <mergeCells count="4">
    <mergeCell ref="A1:G1"/>
    <mergeCell ref="A3:G3"/>
    <mergeCell ref="A5:G5"/>
    <mergeCell ref="C7:D7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2022-10-08T20:39:54Z</dcterms:created>
  <dcterms:modified xsi:type="dcterms:W3CDTF">2022-10-11T19:10:31Z</dcterms:modified>
</cp:coreProperties>
</file>